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ialtman/Documents/3-White Heron Theatre/Budgets/"/>
    </mc:Choice>
  </mc:AlternateContent>
  <xr:revisionPtr revIDLastSave="0" documentId="8_{34C2C4BC-0652-AE4E-870C-E0EBE308D54E}" xr6:coauthVersionLast="38" xr6:coauthVersionMax="38" xr10:uidLastSave="{00000000-0000-0000-0000-000000000000}"/>
  <bookViews>
    <workbookView xWindow="0" yWindow="460" windowWidth="28800" windowHeight="17540" activeTab="1" xr2:uid="{B943E965-3BFC-8A4A-B82F-5BF5F0246BDE}"/>
  </bookViews>
  <sheets>
    <sheet name="2019 Prod Sched" sheetId="9" r:id="rId1"/>
    <sheet name="Financial Snapshot" sheetId="11" r:id="rId2"/>
    <sheet name="Payroll" sheetId="2" r:id="rId3"/>
    <sheet name="2019 Prod Budget" sheetId="6" r:id="rId4"/>
    <sheet name="Box Office" sheetId="12" r:id="rId5"/>
    <sheet name="Quickbooks By Qtr" sheetId="13" r:id="rId6"/>
    <sheet name="Budget Summary" sheetId="1" r:id="rId7"/>
    <sheet name="Budget 2018" sheetId="7" r:id="rId8"/>
    <sheet name="2018 Prod Payroll" sheetId="4" r:id="rId9"/>
  </sheets>
  <definedNames>
    <definedName name="_xlnm.Print_Area" localSheetId="1">'Financial Snapshot'!$A$1:$U$156</definedName>
    <definedName name="_xlnm.Print_Titles" localSheetId="1">'Financial Snapshot'!$A:$B,'Financial Snapshot'!$1:$3</definedName>
    <definedName name="_xlnm.Print_Titles" localSheetId="5">'Quickbooks By Qtr'!$A:$A,'Quickbooks By Qtr'!$1:$1</definedName>
  </definedNames>
  <calcPr calcId="179021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5" i="11" l="1"/>
  <c r="AA146" i="11" s="1"/>
  <c r="Z145" i="11"/>
  <c r="Z146" i="11" s="1"/>
  <c r="Y145" i="11"/>
  <c r="Y146" i="11" s="1"/>
  <c r="X145" i="11"/>
  <c r="X146" i="11" s="1"/>
  <c r="AA131" i="11"/>
  <c r="AA133" i="11" s="1"/>
  <c r="AA129" i="11"/>
  <c r="Z129" i="11"/>
  <c r="Z131" i="11" s="1"/>
  <c r="Z133" i="11" s="1"/>
  <c r="Y129" i="11"/>
  <c r="Y131" i="11" s="1"/>
  <c r="Y133" i="11" s="1"/>
  <c r="X129" i="11"/>
  <c r="X131" i="11" s="1"/>
  <c r="X133" i="11" s="1"/>
  <c r="AA31" i="11"/>
  <c r="Z31" i="11"/>
  <c r="Y31" i="11"/>
  <c r="X31" i="11"/>
  <c r="K20" i="6"/>
  <c r="K19" i="6"/>
  <c r="K18" i="6"/>
  <c r="K17" i="6"/>
  <c r="K16" i="6"/>
  <c r="K15" i="6"/>
  <c r="K14" i="6"/>
  <c r="P145" i="11"/>
  <c r="O145" i="11"/>
  <c r="M145" i="11"/>
  <c r="L145" i="11"/>
  <c r="K145" i="11"/>
  <c r="J145" i="11"/>
  <c r="I145" i="11"/>
  <c r="H145" i="11"/>
  <c r="G145" i="11"/>
  <c r="F145" i="11"/>
  <c r="E145" i="11"/>
  <c r="D145" i="11"/>
  <c r="M31" i="11"/>
  <c r="K31" i="11"/>
  <c r="I31" i="11"/>
  <c r="H31" i="11"/>
  <c r="G31" i="11"/>
  <c r="F31" i="11"/>
  <c r="E31" i="11"/>
  <c r="D31" i="11"/>
  <c r="C31" i="11"/>
  <c r="AA143" i="11"/>
  <c r="Y143" i="11"/>
  <c r="X143" i="11"/>
  <c r="N143" i="11"/>
  <c r="M143" i="11"/>
  <c r="I143" i="11"/>
  <c r="H143" i="11"/>
  <c r="G143" i="11"/>
  <c r="F143" i="11"/>
  <c r="E143" i="11"/>
  <c r="D143" i="11"/>
  <c r="C143" i="11"/>
  <c r="F157" i="11"/>
  <c r="N157" i="11"/>
  <c r="M157" i="11"/>
  <c r="I157" i="11"/>
  <c r="H157" i="11"/>
  <c r="G157" i="11"/>
  <c r="E157" i="11"/>
  <c r="D157" i="11"/>
  <c r="C157" i="11"/>
  <c r="K156" i="11" l="1"/>
  <c r="K142" i="11"/>
  <c r="K155" i="11"/>
  <c r="K154" i="11"/>
  <c r="K153" i="11"/>
  <c r="K151" i="11"/>
  <c r="K152" i="11"/>
  <c r="K150" i="11"/>
  <c r="K161" i="11"/>
  <c r="K141" i="11"/>
  <c r="K140" i="11"/>
  <c r="K143" i="11" s="1"/>
  <c r="K127" i="11"/>
  <c r="K126" i="11"/>
  <c r="K125" i="11"/>
  <c r="K121" i="11"/>
  <c r="K120" i="11"/>
  <c r="K119" i="11"/>
  <c r="K118" i="11"/>
  <c r="K117" i="11"/>
  <c r="K116" i="11"/>
  <c r="K115" i="11"/>
  <c r="K114" i="11"/>
  <c r="K110" i="11"/>
  <c r="K109" i="11"/>
  <c r="K108" i="11"/>
  <c r="K107" i="11"/>
  <c r="K103" i="11"/>
  <c r="K102" i="11"/>
  <c r="K101" i="11"/>
  <c r="K100" i="11"/>
  <c r="K99" i="11"/>
  <c r="K95" i="11"/>
  <c r="K94" i="11"/>
  <c r="K90" i="11"/>
  <c r="K89" i="11"/>
  <c r="K88" i="11"/>
  <c r="K87" i="11"/>
  <c r="K86" i="11"/>
  <c r="K85" i="11"/>
  <c r="K81" i="11"/>
  <c r="K80" i="11"/>
  <c r="K79" i="11"/>
  <c r="K78" i="11"/>
  <c r="K77" i="11"/>
  <c r="K73" i="11"/>
  <c r="K72" i="11"/>
  <c r="K71" i="11"/>
  <c r="K70" i="11"/>
  <c r="K69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47" i="11"/>
  <c r="K46" i="11"/>
  <c r="K45" i="11"/>
  <c r="K44" i="11"/>
  <c r="K43" i="11"/>
  <c r="K39" i="11"/>
  <c r="K38" i="11"/>
  <c r="K37" i="11"/>
  <c r="K136" i="11"/>
  <c r="K137" i="11" s="1"/>
  <c r="K26" i="11"/>
  <c r="K25" i="11"/>
  <c r="K24" i="11"/>
  <c r="K23" i="11"/>
  <c r="K22" i="11"/>
  <c r="K21" i="11"/>
  <c r="K20" i="11"/>
  <c r="K19" i="11"/>
  <c r="K18" i="11"/>
  <c r="K17" i="11"/>
  <c r="K12" i="11"/>
  <c r="K11" i="11"/>
  <c r="K10" i="11"/>
  <c r="K9" i="11"/>
  <c r="K8" i="11"/>
  <c r="K7" i="11"/>
  <c r="AA128" i="11"/>
  <c r="Y128" i="11"/>
  <c r="X128" i="11"/>
  <c r="N128" i="11"/>
  <c r="M128" i="11"/>
  <c r="I128" i="11"/>
  <c r="H128" i="11"/>
  <c r="G128" i="11"/>
  <c r="F128" i="11"/>
  <c r="E128" i="11"/>
  <c r="D128" i="11"/>
  <c r="C128" i="11"/>
  <c r="AA122" i="11"/>
  <c r="Y122" i="11"/>
  <c r="X122" i="11"/>
  <c r="N122" i="11"/>
  <c r="M122" i="11"/>
  <c r="I122" i="11"/>
  <c r="H122" i="11"/>
  <c r="G122" i="11"/>
  <c r="F122" i="11"/>
  <c r="E122" i="11"/>
  <c r="D122" i="11"/>
  <c r="C122" i="11"/>
  <c r="AA111" i="11"/>
  <c r="Y111" i="11"/>
  <c r="X111" i="11"/>
  <c r="N111" i="11"/>
  <c r="M111" i="11"/>
  <c r="I111" i="11"/>
  <c r="H111" i="11"/>
  <c r="G111" i="11"/>
  <c r="F111" i="11"/>
  <c r="E111" i="11"/>
  <c r="D111" i="11"/>
  <c r="C111" i="11"/>
  <c r="AA104" i="11"/>
  <c r="Y104" i="11"/>
  <c r="X104" i="11"/>
  <c r="N104" i="11"/>
  <c r="M104" i="11"/>
  <c r="I104" i="11"/>
  <c r="H104" i="11"/>
  <c r="G104" i="11"/>
  <c r="F104" i="11"/>
  <c r="E104" i="11"/>
  <c r="D104" i="11"/>
  <c r="C104" i="11"/>
  <c r="AA96" i="11"/>
  <c r="Y96" i="11"/>
  <c r="X96" i="11"/>
  <c r="N96" i="11"/>
  <c r="M96" i="11"/>
  <c r="I96" i="11"/>
  <c r="H96" i="11"/>
  <c r="G96" i="11"/>
  <c r="F96" i="11"/>
  <c r="E96" i="11"/>
  <c r="D96" i="11"/>
  <c r="C96" i="11"/>
  <c r="AA91" i="11"/>
  <c r="Y91" i="11"/>
  <c r="X91" i="11"/>
  <c r="N91" i="11"/>
  <c r="M91" i="11"/>
  <c r="I91" i="11"/>
  <c r="H91" i="11"/>
  <c r="G91" i="11"/>
  <c r="F91" i="11"/>
  <c r="E91" i="11"/>
  <c r="D91" i="11"/>
  <c r="C91" i="11"/>
  <c r="AA82" i="11"/>
  <c r="Y82" i="11"/>
  <c r="X82" i="11"/>
  <c r="N82" i="11"/>
  <c r="M82" i="11"/>
  <c r="I82" i="11"/>
  <c r="H82" i="11"/>
  <c r="G82" i="11"/>
  <c r="F82" i="11"/>
  <c r="E82" i="11"/>
  <c r="D82" i="11"/>
  <c r="C82" i="11"/>
  <c r="AA74" i="11"/>
  <c r="Y74" i="11"/>
  <c r="X74" i="11"/>
  <c r="M74" i="11"/>
  <c r="I74" i="11"/>
  <c r="H74" i="11"/>
  <c r="G74" i="11"/>
  <c r="F74" i="11"/>
  <c r="E74" i="11"/>
  <c r="D74" i="11"/>
  <c r="C74" i="11"/>
  <c r="AA64" i="11"/>
  <c r="Y64" i="11"/>
  <c r="X64" i="11"/>
  <c r="M64" i="11"/>
  <c r="I64" i="11"/>
  <c r="H64" i="11"/>
  <c r="G64" i="11"/>
  <c r="F64" i="11"/>
  <c r="E64" i="11"/>
  <c r="D64" i="11"/>
  <c r="C64" i="11"/>
  <c r="AA48" i="11"/>
  <c r="Y48" i="11"/>
  <c r="X48" i="11"/>
  <c r="M48" i="11"/>
  <c r="I48" i="11"/>
  <c r="H48" i="11"/>
  <c r="G48" i="11"/>
  <c r="F48" i="11"/>
  <c r="E48" i="11"/>
  <c r="D48" i="11"/>
  <c r="C48" i="11"/>
  <c r="AA40" i="11"/>
  <c r="Y40" i="11"/>
  <c r="X40" i="11"/>
  <c r="M40" i="11"/>
  <c r="I40" i="11"/>
  <c r="H40" i="11"/>
  <c r="G40" i="11"/>
  <c r="F40" i="11"/>
  <c r="E40" i="11"/>
  <c r="D40" i="11"/>
  <c r="C40" i="11"/>
  <c r="AA137" i="11"/>
  <c r="Y137" i="11"/>
  <c r="X137" i="11"/>
  <c r="N137" i="11"/>
  <c r="M137" i="11"/>
  <c r="L137" i="11"/>
  <c r="J137" i="11"/>
  <c r="I137" i="11"/>
  <c r="H137" i="11"/>
  <c r="G137" i="11"/>
  <c r="F137" i="11"/>
  <c r="E137" i="11"/>
  <c r="D137" i="11"/>
  <c r="C137" i="11"/>
  <c r="AA27" i="11"/>
  <c r="AA29" i="11" s="1"/>
  <c r="AA13" i="11"/>
  <c r="Y27" i="11"/>
  <c r="Y29" i="11" s="1"/>
  <c r="X27" i="11"/>
  <c r="X29" i="11" s="1"/>
  <c r="M27" i="11"/>
  <c r="M29" i="11" s="1"/>
  <c r="I27" i="11"/>
  <c r="I29" i="11" s="1"/>
  <c r="H27" i="11"/>
  <c r="H29" i="11" s="1"/>
  <c r="G27" i="11"/>
  <c r="G29" i="11" s="1"/>
  <c r="F27" i="11"/>
  <c r="F29" i="11" s="1"/>
  <c r="E27" i="11"/>
  <c r="E29" i="11" s="1"/>
  <c r="D27" i="11"/>
  <c r="D29" i="11" s="1"/>
  <c r="C27" i="11"/>
  <c r="C29" i="11" s="1"/>
  <c r="Y13" i="11"/>
  <c r="X13" i="11"/>
  <c r="M13" i="11"/>
  <c r="I13" i="11"/>
  <c r="H13" i="11"/>
  <c r="G13" i="11"/>
  <c r="F13" i="11"/>
  <c r="E13" i="11"/>
  <c r="D13" i="11"/>
  <c r="C13" i="11"/>
  <c r="L36" i="6"/>
  <c r="J45" i="6"/>
  <c r="I45" i="6"/>
  <c r="K44" i="6"/>
  <c r="M44" i="6" s="1"/>
  <c r="K43" i="6"/>
  <c r="M43" i="6" s="1"/>
  <c r="L40" i="6"/>
  <c r="L39" i="6"/>
  <c r="C30" i="6"/>
  <c r="C25" i="6"/>
  <c r="D7" i="2"/>
  <c r="D6" i="2"/>
  <c r="C22" i="2"/>
  <c r="C21" i="2"/>
  <c r="C20" i="2"/>
  <c r="C9" i="2"/>
  <c r="C12" i="2"/>
  <c r="C8" i="2"/>
  <c r="C10" i="2"/>
  <c r="C7" i="2"/>
  <c r="C6" i="2"/>
  <c r="C5" i="2"/>
  <c r="K157" i="11" l="1"/>
  <c r="D129" i="11"/>
  <c r="E129" i="11"/>
  <c r="C129" i="11"/>
  <c r="H129" i="11"/>
  <c r="M129" i="11"/>
  <c r="G129" i="11"/>
  <c r="K40" i="11"/>
  <c r="K96" i="11"/>
  <c r="I129" i="11"/>
  <c r="F129" i="11"/>
  <c r="K82" i="11"/>
  <c r="M49" i="11"/>
  <c r="M65" i="11" s="1"/>
  <c r="K48" i="11"/>
  <c r="K104" i="11"/>
  <c r="Y49" i="11"/>
  <c r="Y65" i="11" s="1"/>
  <c r="K13" i="11"/>
  <c r="K91" i="11"/>
  <c r="K111" i="11"/>
  <c r="K128" i="11"/>
  <c r="E49" i="11"/>
  <c r="E65" i="11" s="1"/>
  <c r="K122" i="11"/>
  <c r="K27" i="11"/>
  <c r="K29" i="11" s="1"/>
  <c r="K64" i="11"/>
  <c r="K74" i="11"/>
  <c r="G49" i="11"/>
  <c r="G65" i="11" s="1"/>
  <c r="H49" i="11"/>
  <c r="H65" i="11" s="1"/>
  <c r="I49" i="11"/>
  <c r="I65" i="11" s="1"/>
  <c r="AA49" i="11"/>
  <c r="AA65" i="11" s="1"/>
  <c r="C49" i="11"/>
  <c r="C65" i="11" s="1"/>
  <c r="D49" i="11"/>
  <c r="D65" i="11" s="1"/>
  <c r="X49" i="11"/>
  <c r="X65" i="11" s="1"/>
  <c r="F49" i="11"/>
  <c r="F65" i="11" s="1"/>
  <c r="K82" i="6"/>
  <c r="M82" i="6" s="1"/>
  <c r="M78" i="6"/>
  <c r="N20" i="11" s="1"/>
  <c r="K76" i="6"/>
  <c r="M76" i="6" s="1"/>
  <c r="K78" i="6"/>
  <c r="L42" i="6"/>
  <c r="N25" i="11"/>
  <c r="N8" i="11"/>
  <c r="M131" i="11" l="1"/>
  <c r="D131" i="11"/>
  <c r="K49" i="11"/>
  <c r="K65" i="11" s="1"/>
  <c r="G131" i="11"/>
  <c r="G133" i="11" s="1"/>
  <c r="I131" i="11"/>
  <c r="H131" i="11"/>
  <c r="C131" i="11"/>
  <c r="C133" i="11" s="1"/>
  <c r="M133" i="11"/>
  <c r="D133" i="11"/>
  <c r="H133" i="11"/>
  <c r="I133" i="11"/>
  <c r="F131" i="11"/>
  <c r="F133" i="11" s="1"/>
  <c r="E131" i="11"/>
  <c r="E133" i="11" s="1"/>
  <c r="K129" i="11"/>
  <c r="AB109" i="11"/>
  <c r="AF38" i="11"/>
  <c r="AH136" i="11"/>
  <c r="AD136" i="11"/>
  <c r="AB150" i="11"/>
  <c r="AF150" i="11"/>
  <c r="AF136" i="11"/>
  <c r="AD46" i="11"/>
  <c r="AD53" i="11"/>
  <c r="AB71" i="11"/>
  <c r="AB77" i="11"/>
  <c r="AB90" i="11"/>
  <c r="AD107" i="11"/>
  <c r="AB108" i="11"/>
  <c r="AF108" i="11"/>
  <c r="AD141" i="11"/>
  <c r="AB156" i="11"/>
  <c r="AF156" i="11"/>
  <c r="B24" i="2"/>
  <c r="J39" i="11"/>
  <c r="L39" i="11" s="1"/>
  <c r="O39" i="11" s="1"/>
  <c r="J38" i="11"/>
  <c r="L38" i="11" s="1"/>
  <c r="P38" i="11" s="1"/>
  <c r="J37" i="11"/>
  <c r="J47" i="11"/>
  <c r="L47" i="11" s="1"/>
  <c r="Q47" i="11" s="1"/>
  <c r="J46" i="11"/>
  <c r="L46" i="11" s="1"/>
  <c r="P46" i="11" s="1"/>
  <c r="J45" i="11"/>
  <c r="L45" i="11" s="1"/>
  <c r="J44" i="11"/>
  <c r="L44" i="11" s="1"/>
  <c r="J43" i="11"/>
  <c r="J152" i="11"/>
  <c r="J59" i="11"/>
  <c r="L59" i="11" s="1"/>
  <c r="J58" i="11"/>
  <c r="L58" i="11" s="1"/>
  <c r="J57" i="11"/>
  <c r="L57" i="11" s="1"/>
  <c r="J56" i="11"/>
  <c r="L56" i="11" s="1"/>
  <c r="J55" i="11"/>
  <c r="J54" i="11"/>
  <c r="L54" i="11" s="1"/>
  <c r="O54" i="11" s="1"/>
  <c r="J53" i="11"/>
  <c r="J52" i="11"/>
  <c r="Q136" i="11"/>
  <c r="Q137" i="11" s="1"/>
  <c r="N44" i="11"/>
  <c r="N43" i="11"/>
  <c r="L46" i="6"/>
  <c r="L61" i="6"/>
  <c r="Z161" i="11"/>
  <c r="J161" i="11"/>
  <c r="Z156" i="11"/>
  <c r="J156" i="11"/>
  <c r="L156" i="11" s="1"/>
  <c r="Z142" i="11"/>
  <c r="J142" i="11"/>
  <c r="L142" i="11" s="1"/>
  <c r="O142" i="11" s="1"/>
  <c r="Z141" i="11"/>
  <c r="J141" i="11"/>
  <c r="Z140" i="11"/>
  <c r="L140" i="11"/>
  <c r="Z127" i="11"/>
  <c r="J127" i="11"/>
  <c r="Z126" i="11"/>
  <c r="J126" i="11"/>
  <c r="Z125" i="11"/>
  <c r="J125" i="11"/>
  <c r="Z121" i="11"/>
  <c r="J121" i="11"/>
  <c r="L121" i="11" s="1"/>
  <c r="Z120" i="11"/>
  <c r="J120" i="11"/>
  <c r="L120" i="11" s="1"/>
  <c r="Z119" i="11"/>
  <c r="J119" i="11"/>
  <c r="Z118" i="11"/>
  <c r="J118" i="11"/>
  <c r="Z117" i="11"/>
  <c r="J117" i="11"/>
  <c r="L117" i="11" s="1"/>
  <c r="Z116" i="11"/>
  <c r="J116" i="11"/>
  <c r="Z115" i="11"/>
  <c r="J115" i="11"/>
  <c r="L115" i="11" s="1"/>
  <c r="Z114" i="11"/>
  <c r="J114" i="11"/>
  <c r="Z110" i="11"/>
  <c r="J110" i="11"/>
  <c r="L110" i="11" s="1"/>
  <c r="Z109" i="11"/>
  <c r="J109" i="11"/>
  <c r="Z108" i="11"/>
  <c r="J108" i="11"/>
  <c r="Z107" i="11"/>
  <c r="J107" i="11"/>
  <c r="Z103" i="11"/>
  <c r="J103" i="11"/>
  <c r="L103" i="11" s="1"/>
  <c r="Z102" i="11"/>
  <c r="J102" i="11"/>
  <c r="L102" i="11" s="1"/>
  <c r="Z101" i="11"/>
  <c r="J101" i="11"/>
  <c r="Z100" i="11"/>
  <c r="J100" i="11"/>
  <c r="L100" i="11" s="1"/>
  <c r="Z99" i="11"/>
  <c r="J99" i="11"/>
  <c r="Z95" i="11"/>
  <c r="J95" i="11"/>
  <c r="L95" i="11" s="1"/>
  <c r="Z94" i="11"/>
  <c r="J94" i="11"/>
  <c r="Z90" i="11"/>
  <c r="J90" i="11"/>
  <c r="L90" i="11" s="1"/>
  <c r="Z89" i="11"/>
  <c r="J89" i="11"/>
  <c r="Z88" i="11"/>
  <c r="J88" i="11"/>
  <c r="Z87" i="11"/>
  <c r="J87" i="11"/>
  <c r="L87" i="11" s="1"/>
  <c r="Z86" i="11"/>
  <c r="J86" i="11"/>
  <c r="Z85" i="11"/>
  <c r="J85" i="11"/>
  <c r="Z81" i="11"/>
  <c r="J81" i="11"/>
  <c r="Z80" i="11"/>
  <c r="J80" i="11"/>
  <c r="L80" i="11" s="1"/>
  <c r="Z79" i="11"/>
  <c r="J79" i="11"/>
  <c r="Z78" i="11"/>
  <c r="J78" i="11"/>
  <c r="Z77" i="11"/>
  <c r="J77" i="11"/>
  <c r="Z73" i="11"/>
  <c r="J73" i="11"/>
  <c r="L73" i="11" s="1"/>
  <c r="Z72" i="11"/>
  <c r="J72" i="11"/>
  <c r="L72" i="11" s="1"/>
  <c r="Z71" i="11"/>
  <c r="J71" i="11"/>
  <c r="Z70" i="11"/>
  <c r="J70" i="11"/>
  <c r="L70" i="11" s="1"/>
  <c r="Z69" i="11"/>
  <c r="J69" i="11"/>
  <c r="Z154" i="11"/>
  <c r="L154" i="11"/>
  <c r="Z153" i="11"/>
  <c r="L153" i="11"/>
  <c r="Z63" i="11"/>
  <c r="J63" i="11"/>
  <c r="L63" i="11" s="1"/>
  <c r="Z62" i="11"/>
  <c r="J62" i="11"/>
  <c r="Z61" i="11"/>
  <c r="J61" i="11"/>
  <c r="L61" i="11" s="1"/>
  <c r="P61" i="11" s="1"/>
  <c r="Z60" i="11"/>
  <c r="J60" i="11"/>
  <c r="Z59" i="11"/>
  <c r="Z58" i="11"/>
  <c r="Z57" i="11"/>
  <c r="Z56" i="11"/>
  <c r="Z55" i="11"/>
  <c r="Z54" i="11"/>
  <c r="Z53" i="11"/>
  <c r="Z52" i="11"/>
  <c r="Z155" i="11"/>
  <c r="L155" i="11"/>
  <c r="Q155" i="11" s="1"/>
  <c r="Z47" i="11"/>
  <c r="Z46" i="11"/>
  <c r="Z45" i="11"/>
  <c r="Z44" i="11"/>
  <c r="Z43" i="11"/>
  <c r="Z152" i="11"/>
  <c r="Z39" i="11"/>
  <c r="Z38" i="11"/>
  <c r="Z37" i="11"/>
  <c r="Z151" i="11"/>
  <c r="L151" i="11"/>
  <c r="Q151" i="11" s="1"/>
  <c r="Z136" i="11"/>
  <c r="Z137" i="11" s="1"/>
  <c r="P136" i="11"/>
  <c r="P137" i="11" s="1"/>
  <c r="O136" i="11"/>
  <c r="O137" i="11" s="1"/>
  <c r="Z28" i="11"/>
  <c r="L28" i="11"/>
  <c r="Z150" i="11"/>
  <c r="L150" i="11"/>
  <c r="Z26" i="11"/>
  <c r="Z25" i="11"/>
  <c r="L25" i="11"/>
  <c r="Z24" i="11"/>
  <c r="L24" i="11"/>
  <c r="Z23" i="11"/>
  <c r="L23" i="11"/>
  <c r="Z22" i="11"/>
  <c r="L22" i="11"/>
  <c r="Z21" i="11"/>
  <c r="Z20" i="11"/>
  <c r="Z19" i="11"/>
  <c r="L19" i="11"/>
  <c r="Z18" i="11"/>
  <c r="L18" i="11"/>
  <c r="Z17" i="11"/>
  <c r="L17" i="11"/>
  <c r="Z12" i="11"/>
  <c r="L12" i="11"/>
  <c r="Z11" i="11"/>
  <c r="L11" i="11"/>
  <c r="Z10" i="11"/>
  <c r="L10" i="11"/>
  <c r="Z9" i="11"/>
  <c r="L9" i="11"/>
  <c r="Z8" i="11"/>
  <c r="Z7" i="11"/>
  <c r="L7" i="11"/>
  <c r="A3" i="11"/>
  <c r="C145" i="11" l="1"/>
  <c r="AB145" i="11" s="1"/>
  <c r="Z143" i="11"/>
  <c r="J143" i="11"/>
  <c r="J157" i="11"/>
  <c r="E146" i="11"/>
  <c r="G146" i="11"/>
  <c r="F146" i="11"/>
  <c r="I146" i="11"/>
  <c r="H146" i="11"/>
  <c r="D146" i="11"/>
  <c r="M146" i="11"/>
  <c r="S69" i="11"/>
  <c r="S115" i="11"/>
  <c r="S39" i="11"/>
  <c r="S62" i="11"/>
  <c r="S99" i="11"/>
  <c r="S89" i="11"/>
  <c r="S38" i="11"/>
  <c r="S57" i="11"/>
  <c r="S73" i="11"/>
  <c r="S82" i="11"/>
  <c r="K131" i="11"/>
  <c r="S131" i="11" s="1"/>
  <c r="S19" i="11"/>
  <c r="S108" i="11"/>
  <c r="S78" i="11"/>
  <c r="S142" i="11"/>
  <c r="S26" i="11"/>
  <c r="S43" i="11"/>
  <c r="S64" i="11"/>
  <c r="S71" i="11"/>
  <c r="S44" i="11"/>
  <c r="S53" i="11"/>
  <c r="S109" i="11"/>
  <c r="S24" i="11"/>
  <c r="S58" i="11"/>
  <c r="S59" i="11"/>
  <c r="S79" i="11"/>
  <c r="S102" i="11"/>
  <c r="S126" i="11"/>
  <c r="S25" i="11"/>
  <c r="S31" i="11"/>
  <c r="S45" i="11"/>
  <c r="S54" i="11"/>
  <c r="S72" i="11"/>
  <c r="S95" i="11"/>
  <c r="S17" i="11"/>
  <c r="S52" i="11"/>
  <c r="S37" i="11"/>
  <c r="S63" i="11"/>
  <c r="S85" i="11"/>
  <c r="S46" i="11"/>
  <c r="S88" i="11"/>
  <c r="S96" i="11"/>
  <c r="S103" i="11"/>
  <c r="S119" i="11"/>
  <c r="S116" i="11"/>
  <c r="S120" i="11"/>
  <c r="S12" i="11"/>
  <c r="S127" i="11"/>
  <c r="S23" i="11"/>
  <c r="S86" i="11"/>
  <c r="S90" i="11"/>
  <c r="S110" i="11"/>
  <c r="S29" i="11"/>
  <c r="S10" i="11"/>
  <c r="S27" i="11"/>
  <c r="S104" i="11"/>
  <c r="S117" i="11"/>
  <c r="S121" i="11"/>
  <c r="S28" i="11"/>
  <c r="S9" i="11"/>
  <c r="S80" i="11"/>
  <c r="S91" i="11"/>
  <c r="S100" i="11"/>
  <c r="S111" i="11"/>
  <c r="S140" i="11"/>
  <c r="S13" i="11"/>
  <c r="S49" i="11"/>
  <c r="S55" i="11"/>
  <c r="S74" i="11"/>
  <c r="S87" i="11"/>
  <c r="S107" i="11"/>
  <c r="S122" i="11"/>
  <c r="S11" i="11"/>
  <c r="S60" i="11"/>
  <c r="S136" i="11"/>
  <c r="S47" i="11"/>
  <c r="S40" i="11"/>
  <c r="S70" i="11"/>
  <c r="S94" i="11"/>
  <c r="S114" i="11"/>
  <c r="S118" i="11"/>
  <c r="S18" i="11"/>
  <c r="S7" i="11"/>
  <c r="S137" i="11"/>
  <c r="S48" i="11"/>
  <c r="S56" i="11"/>
  <c r="S61" i="11"/>
  <c r="S65" i="11"/>
  <c r="S77" i="11"/>
  <c r="S81" i="11"/>
  <c r="S101" i="11"/>
  <c r="S125" i="11"/>
  <c r="S141" i="11"/>
  <c r="S22" i="11"/>
  <c r="S128" i="11"/>
  <c r="S20" i="11"/>
  <c r="S129" i="11"/>
  <c r="S8" i="11"/>
  <c r="S21" i="11"/>
  <c r="AD128" i="11"/>
  <c r="AD89" i="11"/>
  <c r="AD121" i="11"/>
  <c r="AF119" i="11"/>
  <c r="AB119" i="11"/>
  <c r="AB70" i="11"/>
  <c r="AB118" i="11"/>
  <c r="AB69" i="11"/>
  <c r="AD116" i="11"/>
  <c r="AD154" i="11"/>
  <c r="AB110" i="11"/>
  <c r="AB56" i="11"/>
  <c r="AF145" i="11"/>
  <c r="AD55" i="11"/>
  <c r="AB94" i="11"/>
  <c r="AB55" i="11"/>
  <c r="AB91" i="11"/>
  <c r="AB120" i="11"/>
  <c r="AF90" i="11"/>
  <c r="AB52" i="11"/>
  <c r="AF128" i="11"/>
  <c r="AF117" i="11"/>
  <c r="AB103" i="11"/>
  <c r="AB89" i="11"/>
  <c r="AB154" i="11"/>
  <c r="AB47" i="11"/>
  <c r="AB117" i="11"/>
  <c r="AB102" i="11"/>
  <c r="AF81" i="11"/>
  <c r="AB153" i="11"/>
  <c r="AB128" i="11"/>
  <c r="AF101" i="11"/>
  <c r="AB81" i="11"/>
  <c r="AB65" i="11"/>
  <c r="AF45" i="11"/>
  <c r="AB127" i="11"/>
  <c r="AD114" i="11"/>
  <c r="AB101" i="11"/>
  <c r="AF80" i="11"/>
  <c r="AD60" i="11"/>
  <c r="AB45" i="11"/>
  <c r="AF126" i="11"/>
  <c r="AB114" i="11"/>
  <c r="AD100" i="11"/>
  <c r="AB80" i="11"/>
  <c r="AB60" i="11"/>
  <c r="AF44" i="11"/>
  <c r="AB161" i="11"/>
  <c r="AB126" i="11"/>
  <c r="AB111" i="11"/>
  <c r="AB100" i="11"/>
  <c r="AB79" i="11"/>
  <c r="AB59" i="11"/>
  <c r="AB151" i="11"/>
  <c r="AB125" i="11"/>
  <c r="AF110" i="11"/>
  <c r="AD96" i="11"/>
  <c r="AB78" i="11"/>
  <c r="AB57" i="11"/>
  <c r="AB137" i="11"/>
  <c r="AB49" i="11"/>
  <c r="AF99" i="11"/>
  <c r="AB44" i="11"/>
  <c r="AB142" i="11"/>
  <c r="AF122" i="11"/>
  <c r="AB116" i="11"/>
  <c r="AB99" i="11"/>
  <c r="AB88" i="11"/>
  <c r="AB74" i="11"/>
  <c r="AB64" i="11"/>
  <c r="AF54" i="11"/>
  <c r="AB43" i="11"/>
  <c r="AB122" i="11"/>
  <c r="AF115" i="11"/>
  <c r="AB107" i="11"/>
  <c r="AF96" i="11"/>
  <c r="AB87" i="11"/>
  <c r="AB73" i="11"/>
  <c r="AB63" i="11"/>
  <c r="AB54" i="11"/>
  <c r="AF152" i="11"/>
  <c r="AF142" i="11"/>
  <c r="AF88" i="11"/>
  <c r="AB141" i="11"/>
  <c r="AB115" i="11"/>
  <c r="AF104" i="11"/>
  <c r="AB86" i="11"/>
  <c r="AF72" i="11"/>
  <c r="AB62" i="11"/>
  <c r="AF53" i="11"/>
  <c r="AB152" i="11"/>
  <c r="AF140" i="11"/>
  <c r="AB121" i="11"/>
  <c r="AF114" i="11"/>
  <c r="AB104" i="11"/>
  <c r="AB96" i="11"/>
  <c r="AB85" i="11"/>
  <c r="AB72" i="11"/>
  <c r="AF61" i="11"/>
  <c r="AB40" i="11"/>
  <c r="AB140" i="11"/>
  <c r="AF120" i="11"/>
  <c r="AF103" i="11"/>
  <c r="AB95" i="11"/>
  <c r="AB82" i="11"/>
  <c r="AF71" i="11"/>
  <c r="AB61" i="11"/>
  <c r="AB53" i="11"/>
  <c r="AF151" i="11"/>
  <c r="AC88" i="11"/>
  <c r="AF74" i="11"/>
  <c r="AF153" i="11"/>
  <c r="AF59" i="11"/>
  <c r="AF85" i="11"/>
  <c r="AD73" i="11"/>
  <c r="AF65" i="11"/>
  <c r="AF58" i="11"/>
  <c r="AF155" i="11"/>
  <c r="AB39" i="11"/>
  <c r="AD65" i="11"/>
  <c r="AB58" i="11"/>
  <c r="AB155" i="11"/>
  <c r="AB31" i="11"/>
  <c r="AG115" i="11"/>
  <c r="AG88" i="11"/>
  <c r="AF39" i="11"/>
  <c r="AG95" i="11"/>
  <c r="AF78" i="11"/>
  <c r="AH69" i="11"/>
  <c r="AF63" i="11"/>
  <c r="AF56" i="11"/>
  <c r="AH95" i="11"/>
  <c r="AF87" i="11"/>
  <c r="AG69" i="11"/>
  <c r="AB38" i="11"/>
  <c r="AC101" i="11"/>
  <c r="AF94" i="11"/>
  <c r="AF69" i="11"/>
  <c r="AB46" i="11"/>
  <c r="AB37" i="11"/>
  <c r="AE142" i="11"/>
  <c r="AG63" i="11"/>
  <c r="AH125" i="11"/>
  <c r="AG107" i="11"/>
  <c r="AH100" i="11"/>
  <c r="AG80" i="11"/>
  <c r="AH52" i="11"/>
  <c r="AG150" i="11"/>
  <c r="AE38" i="11"/>
  <c r="AH72" i="11"/>
  <c r="AG52" i="11"/>
  <c r="AH44" i="11"/>
  <c r="AH37" i="11"/>
  <c r="AG72" i="11"/>
  <c r="AG44" i="11"/>
  <c r="AG37" i="11"/>
  <c r="AG118" i="11"/>
  <c r="AH117" i="11"/>
  <c r="AH90" i="11"/>
  <c r="AG153" i="11"/>
  <c r="AH63" i="11"/>
  <c r="AG100" i="11"/>
  <c r="AC145" i="11"/>
  <c r="AG117" i="11"/>
  <c r="AH110" i="11"/>
  <c r="AG90" i="11"/>
  <c r="AH85" i="11"/>
  <c r="AG55" i="11"/>
  <c r="AF31" i="11"/>
  <c r="AH107" i="11"/>
  <c r="AG128" i="11"/>
  <c r="AG110" i="11"/>
  <c r="AG85" i="11"/>
  <c r="AH60" i="11"/>
  <c r="AH47" i="11"/>
  <c r="AH156" i="11"/>
  <c r="AE103" i="11"/>
  <c r="AH77" i="11"/>
  <c r="AG60" i="11"/>
  <c r="AG47" i="11"/>
  <c r="AH151" i="11"/>
  <c r="AH80" i="11"/>
  <c r="AG156" i="11"/>
  <c r="AH120" i="11"/>
  <c r="AG77" i="11"/>
  <c r="AG70" i="11"/>
  <c r="AF47" i="11"/>
  <c r="AG151" i="11"/>
  <c r="AG125" i="11"/>
  <c r="AG120" i="11"/>
  <c r="AH102" i="11"/>
  <c r="AE85" i="11"/>
  <c r="AE63" i="11"/>
  <c r="AH54" i="11"/>
  <c r="AE151" i="11"/>
  <c r="AG49" i="11"/>
  <c r="AE58" i="11"/>
  <c r="AH141" i="11"/>
  <c r="AE80" i="11"/>
  <c r="AE60" i="11"/>
  <c r="AH57" i="11"/>
  <c r="AG161" i="11"/>
  <c r="AG141" i="11"/>
  <c r="AH122" i="11"/>
  <c r="AG114" i="11"/>
  <c r="AG102" i="11"/>
  <c r="AH99" i="11"/>
  <c r="AE90" i="11"/>
  <c r="AH87" i="11"/>
  <c r="AH74" i="11"/>
  <c r="AG65" i="11"/>
  <c r="AG57" i="11"/>
  <c r="AG54" i="11"/>
  <c r="AH155" i="11"/>
  <c r="AG40" i="11"/>
  <c r="AE152" i="11"/>
  <c r="AE110" i="11"/>
  <c r="AG122" i="11"/>
  <c r="AH109" i="11"/>
  <c r="AG99" i="11"/>
  <c r="AH82" i="11"/>
  <c r="AH79" i="11"/>
  <c r="AG74" i="11"/>
  <c r="AE69" i="11"/>
  <c r="AH62" i="11"/>
  <c r="AG155" i="11"/>
  <c r="AH46" i="11"/>
  <c r="AE44" i="11"/>
  <c r="AH31" i="11"/>
  <c r="AH137" i="11"/>
  <c r="AH40" i="11"/>
  <c r="AH127" i="11"/>
  <c r="AE117" i="11"/>
  <c r="AH94" i="11"/>
  <c r="AG87" i="11"/>
  <c r="AG127" i="11"/>
  <c r="AH119" i="11"/>
  <c r="AE114" i="11"/>
  <c r="AG109" i="11"/>
  <c r="AH104" i="11"/>
  <c r="AH101" i="11"/>
  <c r="AG94" i="11"/>
  <c r="AH89" i="11"/>
  <c r="AG82" i="11"/>
  <c r="AG79" i="11"/>
  <c r="AH71" i="11"/>
  <c r="AE65" i="11"/>
  <c r="AG62" i="11"/>
  <c r="AH59" i="11"/>
  <c r="AH56" i="11"/>
  <c r="AG46" i="11"/>
  <c r="AH39" i="11"/>
  <c r="AG31" i="11"/>
  <c r="AG137" i="11"/>
  <c r="AH65" i="11"/>
  <c r="AH140" i="11"/>
  <c r="AE122" i="11"/>
  <c r="AG119" i="11"/>
  <c r="AH116" i="11"/>
  <c r="AG104" i="11"/>
  <c r="AG101" i="11"/>
  <c r="AG89" i="11"/>
  <c r="AE87" i="11"/>
  <c r="AE74" i="11"/>
  <c r="AG71" i="11"/>
  <c r="AH154" i="11"/>
  <c r="AG59" i="11"/>
  <c r="AG56" i="11"/>
  <c r="AH53" i="11"/>
  <c r="AE155" i="11"/>
  <c r="AE46" i="11"/>
  <c r="AH43" i="11"/>
  <c r="AG39" i="11"/>
  <c r="AE137" i="11"/>
  <c r="AG140" i="11"/>
  <c r="AH126" i="11"/>
  <c r="AG116" i="11"/>
  <c r="AH108" i="11"/>
  <c r="AH96" i="11"/>
  <c r="AE94" i="11"/>
  <c r="AE89" i="11"/>
  <c r="AH81" i="11"/>
  <c r="AH78" i="11"/>
  <c r="AG154" i="11"/>
  <c r="AH61" i="11"/>
  <c r="AG53" i="11"/>
  <c r="AG43" i="11"/>
  <c r="AE31" i="11"/>
  <c r="AE150" i="11"/>
  <c r="AH145" i="11"/>
  <c r="AG126" i="11"/>
  <c r="AH121" i="11"/>
  <c r="AE119" i="11"/>
  <c r="AH111" i="11"/>
  <c r="AG108" i="11"/>
  <c r="AE101" i="11"/>
  <c r="AG96" i="11"/>
  <c r="AH86" i="11"/>
  <c r="AG81" i="11"/>
  <c r="AG78" i="11"/>
  <c r="AH73" i="11"/>
  <c r="AE71" i="11"/>
  <c r="AH64" i="11"/>
  <c r="AG61" i="11"/>
  <c r="AE56" i="11"/>
  <c r="AH48" i="11"/>
  <c r="AG136" i="11"/>
  <c r="AE49" i="11"/>
  <c r="AH49" i="11"/>
  <c r="AH114" i="11"/>
  <c r="AE47" i="11"/>
  <c r="AE156" i="11"/>
  <c r="AG145" i="11"/>
  <c r="AH142" i="11"/>
  <c r="AG121" i="11"/>
  <c r="AG111" i="11"/>
  <c r="AH103" i="11"/>
  <c r="AH91" i="11"/>
  <c r="AG86" i="11"/>
  <c r="AG73" i="11"/>
  <c r="AG64" i="11"/>
  <c r="AH58" i="11"/>
  <c r="AE53" i="11"/>
  <c r="AG48" i="11"/>
  <c r="AH45" i="11"/>
  <c r="AH152" i="11"/>
  <c r="AH38" i="11"/>
  <c r="AE128" i="11"/>
  <c r="AH161" i="11"/>
  <c r="AE107" i="11"/>
  <c r="AG142" i="11"/>
  <c r="AH128" i="11"/>
  <c r="AE126" i="11"/>
  <c r="AE121" i="11"/>
  <c r="AH118" i="11"/>
  <c r="AH115" i="11"/>
  <c r="AE108" i="11"/>
  <c r="AG103" i="11"/>
  <c r="AE96" i="11"/>
  <c r="AG91" i="11"/>
  <c r="AH88" i="11"/>
  <c r="AE78" i="11"/>
  <c r="AE73" i="11"/>
  <c r="AH70" i="11"/>
  <c r="AH153" i="11"/>
  <c r="AE61" i="11"/>
  <c r="AG58" i="11"/>
  <c r="AH55" i="11"/>
  <c r="AB48" i="11"/>
  <c r="AG45" i="11"/>
  <c r="AG152" i="11"/>
  <c r="AB136" i="11"/>
  <c r="AC45" i="11"/>
  <c r="AC116" i="11"/>
  <c r="AC56" i="11"/>
  <c r="AC140" i="11"/>
  <c r="AC109" i="11"/>
  <c r="AC107" i="11"/>
  <c r="AC94" i="11"/>
  <c r="AC62" i="11"/>
  <c r="AC60" i="11"/>
  <c r="AC155" i="11"/>
  <c r="AC151" i="11"/>
  <c r="AC39" i="11"/>
  <c r="AC142" i="11"/>
  <c r="AC120" i="11"/>
  <c r="AC85" i="11"/>
  <c r="AC72" i="11"/>
  <c r="AC152" i="11"/>
  <c r="AC37" i="11"/>
  <c r="AC114" i="11"/>
  <c r="AC79" i="11"/>
  <c r="AC122" i="11"/>
  <c r="AC111" i="11"/>
  <c r="AC100" i="11"/>
  <c r="AC96" i="11"/>
  <c r="AC74" i="11"/>
  <c r="AC64" i="11"/>
  <c r="AC55" i="11"/>
  <c r="AC53" i="11"/>
  <c r="AC49" i="11"/>
  <c r="AC81" i="11"/>
  <c r="AC156" i="11"/>
  <c r="AC115" i="11"/>
  <c r="AC102" i="11"/>
  <c r="AC87" i="11"/>
  <c r="AC153" i="11"/>
  <c r="AC57" i="11"/>
  <c r="AC44" i="11"/>
  <c r="AC31" i="11"/>
  <c r="AC127" i="11"/>
  <c r="AC154" i="11"/>
  <c r="AC126" i="11"/>
  <c r="AC91" i="11"/>
  <c r="AC89" i="11"/>
  <c r="AC78" i="11"/>
  <c r="AC48" i="11"/>
  <c r="AC46" i="11"/>
  <c r="AD38" i="11"/>
  <c r="AC150" i="11"/>
  <c r="AC90" i="11"/>
  <c r="AC118" i="11"/>
  <c r="AC70" i="11"/>
  <c r="AC117" i="11"/>
  <c r="AC104" i="11"/>
  <c r="AD82" i="11"/>
  <c r="AD80" i="11"/>
  <c r="AC69" i="11"/>
  <c r="AC59" i="11"/>
  <c r="AD40" i="11"/>
  <c r="AC38" i="11"/>
  <c r="AD137" i="11"/>
  <c r="AC65" i="11"/>
  <c r="AC58" i="11"/>
  <c r="AC141" i="11"/>
  <c r="AC128" i="11"/>
  <c r="AC108" i="11"/>
  <c r="AC95" i="11"/>
  <c r="AC82" i="11"/>
  <c r="AC80" i="11"/>
  <c r="AC61" i="11"/>
  <c r="AC52" i="11"/>
  <c r="AC40" i="11"/>
  <c r="AC137" i="11"/>
  <c r="AC103" i="11"/>
  <c r="AC136" i="11"/>
  <c r="AC119" i="11"/>
  <c r="AC99" i="11"/>
  <c r="AC86" i="11"/>
  <c r="AC71" i="11"/>
  <c r="AC54" i="11"/>
  <c r="AC43" i="11"/>
  <c r="AC47" i="11"/>
  <c r="AC161" i="11"/>
  <c r="AC125" i="11"/>
  <c r="AC121" i="11"/>
  <c r="AC110" i="11"/>
  <c r="AC77" i="11"/>
  <c r="AC73" i="11"/>
  <c r="AC63" i="11"/>
  <c r="AD126" i="11"/>
  <c r="AD110" i="11"/>
  <c r="AD94" i="11"/>
  <c r="AD78" i="11"/>
  <c r="AD63" i="11"/>
  <c r="AD155" i="11"/>
  <c r="AD31" i="11"/>
  <c r="AD56" i="11"/>
  <c r="AD152" i="11"/>
  <c r="AE23" i="11"/>
  <c r="AE8" i="11"/>
  <c r="AE11" i="11"/>
  <c r="AE22" i="11"/>
  <c r="AE28" i="11"/>
  <c r="AE9" i="11"/>
  <c r="AE18" i="11"/>
  <c r="AE25" i="11"/>
  <c r="AE29" i="11"/>
  <c r="AE7" i="11"/>
  <c r="AE26" i="11"/>
  <c r="AE10" i="11"/>
  <c r="AE17" i="11"/>
  <c r="AE21" i="11"/>
  <c r="AE24" i="11"/>
  <c r="AE19" i="11"/>
  <c r="AE12" i="11"/>
  <c r="AE20" i="11"/>
  <c r="AE13" i="11"/>
  <c r="AE27" i="11"/>
  <c r="AD156" i="11"/>
  <c r="AD142" i="11"/>
  <c r="AD69" i="11"/>
  <c r="AE140" i="11"/>
  <c r="AD122" i="11"/>
  <c r="AE115" i="11"/>
  <c r="AD108" i="11"/>
  <c r="AE99" i="11"/>
  <c r="AD61" i="11"/>
  <c r="AD47" i="11"/>
  <c r="AF49" i="11"/>
  <c r="AF19" i="11"/>
  <c r="AF23" i="11"/>
  <c r="AF12" i="11"/>
  <c r="AF8" i="11"/>
  <c r="AF11" i="11"/>
  <c r="AF22" i="11"/>
  <c r="AF28" i="11"/>
  <c r="AF29" i="11"/>
  <c r="AF18" i="11"/>
  <c r="AF25" i="11"/>
  <c r="AF26" i="11"/>
  <c r="AF7" i="11"/>
  <c r="AF9" i="11"/>
  <c r="AF20" i="11"/>
  <c r="AF10" i="11"/>
  <c r="AF17" i="11"/>
  <c r="AF21" i="11"/>
  <c r="AF24" i="11"/>
  <c r="AF13" i="11"/>
  <c r="AF27" i="11"/>
  <c r="AE145" i="11"/>
  <c r="AD140" i="11"/>
  <c r="AF127" i="11"/>
  <c r="AE120" i="11"/>
  <c r="AD115" i="11"/>
  <c r="AF111" i="11"/>
  <c r="AE104" i="11"/>
  <c r="AD99" i="11"/>
  <c r="AF95" i="11"/>
  <c r="AE88" i="11"/>
  <c r="AD81" i="11"/>
  <c r="AF79" i="11"/>
  <c r="AE72" i="11"/>
  <c r="AD153" i="11"/>
  <c r="AF64" i="11"/>
  <c r="AE59" i="11"/>
  <c r="AD54" i="11"/>
  <c r="AF52" i="11"/>
  <c r="AE45" i="11"/>
  <c r="AD39" i="11"/>
  <c r="AF37" i="11"/>
  <c r="AE136" i="11"/>
  <c r="AH9" i="11"/>
  <c r="AH12" i="11"/>
  <c r="AH20" i="11"/>
  <c r="AH23" i="11"/>
  <c r="AH24" i="11"/>
  <c r="AH26" i="11"/>
  <c r="AH19" i="11"/>
  <c r="AH10" i="11"/>
  <c r="AH8" i="11"/>
  <c r="AH11" i="11"/>
  <c r="AH22" i="11"/>
  <c r="AH28" i="11"/>
  <c r="AH27" i="11"/>
  <c r="AH18" i="11"/>
  <c r="AH25" i="11"/>
  <c r="AH17" i="11"/>
  <c r="AH7" i="11"/>
  <c r="AH21" i="11"/>
  <c r="AH13" i="11"/>
  <c r="AH29" i="11"/>
  <c r="AD87" i="11"/>
  <c r="AD117" i="11"/>
  <c r="AD145" i="11"/>
  <c r="AE127" i="11"/>
  <c r="AD120" i="11"/>
  <c r="AF118" i="11"/>
  <c r="AE111" i="11"/>
  <c r="AD104" i="11"/>
  <c r="AF102" i="11"/>
  <c r="AE95" i="11"/>
  <c r="AD88" i="11"/>
  <c r="AF86" i="11"/>
  <c r="AE79" i="11"/>
  <c r="AD72" i="11"/>
  <c r="AF70" i="11"/>
  <c r="AE64" i="11"/>
  <c r="AD59" i="11"/>
  <c r="AF57" i="11"/>
  <c r="AE52" i="11"/>
  <c r="AD45" i="11"/>
  <c r="AF43" i="11"/>
  <c r="AE37" i="11"/>
  <c r="AD49" i="11"/>
  <c r="AD8" i="11"/>
  <c r="AD11" i="11"/>
  <c r="AD22" i="11"/>
  <c r="AD28" i="11"/>
  <c r="AD12" i="11"/>
  <c r="AD18" i="11"/>
  <c r="AD25" i="11"/>
  <c r="AD23" i="11"/>
  <c r="AD7" i="11"/>
  <c r="AD9" i="11"/>
  <c r="AD26" i="11"/>
  <c r="AD19" i="11"/>
  <c r="AD10" i="11"/>
  <c r="AD17" i="11"/>
  <c r="AD21" i="11"/>
  <c r="AD24" i="11"/>
  <c r="AD29" i="11"/>
  <c r="AD20" i="11"/>
  <c r="AD27" i="11"/>
  <c r="AD13" i="11"/>
  <c r="AD103" i="11"/>
  <c r="AD101" i="11"/>
  <c r="AD85" i="11"/>
  <c r="AD90" i="11"/>
  <c r="AE81" i="11"/>
  <c r="AD74" i="11"/>
  <c r="AE153" i="11"/>
  <c r="AE54" i="11"/>
  <c r="AE39" i="11"/>
  <c r="AD151" i="11"/>
  <c r="AF161" i="11"/>
  <c r="AD127" i="11"/>
  <c r="AF125" i="11"/>
  <c r="AE118" i="11"/>
  <c r="AD111" i="11"/>
  <c r="AF109" i="11"/>
  <c r="AE102" i="11"/>
  <c r="AD95" i="11"/>
  <c r="AF91" i="11"/>
  <c r="AE86" i="11"/>
  <c r="AD79" i="11"/>
  <c r="AF77" i="11"/>
  <c r="AE70" i="11"/>
  <c r="AD64" i="11"/>
  <c r="AF62" i="11"/>
  <c r="AE57" i="11"/>
  <c r="AD52" i="11"/>
  <c r="AF48" i="11"/>
  <c r="AE43" i="11"/>
  <c r="AD37" i="11"/>
  <c r="AG26" i="11"/>
  <c r="AG19" i="11"/>
  <c r="AG13" i="11"/>
  <c r="AG8" i="11"/>
  <c r="AG11" i="11"/>
  <c r="AG22" i="11"/>
  <c r="AG28" i="11"/>
  <c r="AG27" i="11"/>
  <c r="AG18" i="11"/>
  <c r="AG25" i="11"/>
  <c r="AG7" i="11"/>
  <c r="AG12" i="11"/>
  <c r="AG23" i="11"/>
  <c r="AG10" i="11"/>
  <c r="AG17" i="11"/>
  <c r="AG21" i="11"/>
  <c r="AG24" i="11"/>
  <c r="AG9" i="11"/>
  <c r="AG20" i="11"/>
  <c r="AG29" i="11"/>
  <c r="AB7" i="11"/>
  <c r="AB28" i="11"/>
  <c r="AB10" i="11"/>
  <c r="AB17" i="11"/>
  <c r="AB21" i="11"/>
  <c r="AB24" i="11"/>
  <c r="AB11" i="11"/>
  <c r="AB25" i="11"/>
  <c r="AB18" i="11"/>
  <c r="AB9" i="11"/>
  <c r="AB12" i="11"/>
  <c r="AB20" i="11"/>
  <c r="AB23" i="11"/>
  <c r="AB19" i="11"/>
  <c r="AB26" i="11"/>
  <c r="AB22" i="11"/>
  <c r="AB8" i="11"/>
  <c r="AB27" i="11"/>
  <c r="AB29" i="11"/>
  <c r="AB13" i="11"/>
  <c r="AD119" i="11"/>
  <c r="AD44" i="11"/>
  <c r="AD150" i="11"/>
  <c r="AE161" i="11"/>
  <c r="AF141" i="11"/>
  <c r="AE125" i="11"/>
  <c r="AD118" i="11"/>
  <c r="AF116" i="11"/>
  <c r="AE109" i="11"/>
  <c r="AD102" i="11"/>
  <c r="AF100" i="11"/>
  <c r="AE91" i="11"/>
  <c r="AD86" i="11"/>
  <c r="AF82" i="11"/>
  <c r="AE77" i="11"/>
  <c r="AD70" i="11"/>
  <c r="AF154" i="11"/>
  <c r="AE62" i="11"/>
  <c r="AD57" i="11"/>
  <c r="AF55" i="11"/>
  <c r="AE48" i="11"/>
  <c r="AD43" i="11"/>
  <c r="AF40" i="11"/>
  <c r="AD71" i="11"/>
  <c r="AD58" i="11"/>
  <c r="AD161" i="11"/>
  <c r="AE141" i="11"/>
  <c r="AD125" i="11"/>
  <c r="AF121" i="11"/>
  <c r="AE116" i="11"/>
  <c r="AD109" i="11"/>
  <c r="AF107" i="11"/>
  <c r="AE100" i="11"/>
  <c r="AD91" i="11"/>
  <c r="AF89" i="11"/>
  <c r="AE82" i="11"/>
  <c r="AD77" i="11"/>
  <c r="AF73" i="11"/>
  <c r="AE154" i="11"/>
  <c r="AD62" i="11"/>
  <c r="AF60" i="11"/>
  <c r="AE55" i="11"/>
  <c r="AD48" i="11"/>
  <c r="AF46" i="11"/>
  <c r="AE40" i="11"/>
  <c r="AG38" i="11"/>
  <c r="AF137" i="11"/>
  <c r="AH150" i="11"/>
  <c r="AC18" i="11"/>
  <c r="AC25" i="11"/>
  <c r="AC8" i="11"/>
  <c r="AC28" i="11"/>
  <c r="AC7" i="11"/>
  <c r="AC22" i="11"/>
  <c r="AC29" i="11"/>
  <c r="AC11" i="11"/>
  <c r="AC10" i="11"/>
  <c r="AC17" i="11"/>
  <c r="AC21" i="11"/>
  <c r="AC24" i="11"/>
  <c r="AC19" i="11"/>
  <c r="AC26" i="11"/>
  <c r="AC9" i="11"/>
  <c r="AC12" i="11"/>
  <c r="AC20" i="11"/>
  <c r="AC23" i="11"/>
  <c r="AC13" i="11"/>
  <c r="AC27" i="11"/>
  <c r="L152" i="11"/>
  <c r="L157" i="11" s="1"/>
  <c r="P150" i="11"/>
  <c r="Z96" i="11"/>
  <c r="Z128" i="11"/>
  <c r="Z111" i="11"/>
  <c r="J128" i="11"/>
  <c r="Z122" i="11"/>
  <c r="J96" i="11"/>
  <c r="L114" i="11"/>
  <c r="P114" i="11" s="1"/>
  <c r="J122" i="11"/>
  <c r="J91" i="11"/>
  <c r="Z82" i="11"/>
  <c r="Z91" i="11"/>
  <c r="L99" i="11"/>
  <c r="O99" i="11" s="1"/>
  <c r="J104" i="11"/>
  <c r="L69" i="11"/>
  <c r="J74" i="11"/>
  <c r="Z104" i="11"/>
  <c r="L77" i="11"/>
  <c r="J82" i="11"/>
  <c r="Z74" i="11"/>
  <c r="L107" i="11"/>
  <c r="P107" i="11" s="1"/>
  <c r="J111" i="11"/>
  <c r="J40" i="11"/>
  <c r="Z64" i="11"/>
  <c r="L52" i="11"/>
  <c r="P52" i="11" s="1"/>
  <c r="J64" i="11"/>
  <c r="Z48" i="11"/>
  <c r="L43" i="11"/>
  <c r="Q43" i="11" s="1"/>
  <c r="J48" i="11"/>
  <c r="Z40" i="11"/>
  <c r="O10" i="11"/>
  <c r="O23" i="11"/>
  <c r="Q22" i="11"/>
  <c r="Q12" i="11"/>
  <c r="O24" i="11"/>
  <c r="O25" i="11"/>
  <c r="P11" i="11"/>
  <c r="Q28" i="11"/>
  <c r="Q18" i="11"/>
  <c r="Q19" i="11"/>
  <c r="Z13" i="11"/>
  <c r="Z27" i="11"/>
  <c r="P17" i="11"/>
  <c r="O7" i="11"/>
  <c r="O155" i="11"/>
  <c r="O110" i="11"/>
  <c r="P110" i="11"/>
  <c r="Q110" i="11"/>
  <c r="Q10" i="11"/>
  <c r="O150" i="11"/>
  <c r="Q11" i="11"/>
  <c r="P7" i="11"/>
  <c r="P155" i="11"/>
  <c r="Q150" i="11"/>
  <c r="O72" i="11"/>
  <c r="P72" i="11"/>
  <c r="Q72" i="11"/>
  <c r="O87" i="11"/>
  <c r="Q87" i="11"/>
  <c r="P87" i="11"/>
  <c r="Q80" i="11"/>
  <c r="P80" i="11"/>
  <c r="O80" i="11"/>
  <c r="P63" i="11"/>
  <c r="Q95" i="11"/>
  <c r="P95" i="11"/>
  <c r="O95" i="11"/>
  <c r="Q24" i="11"/>
  <c r="O17" i="11"/>
  <c r="P23" i="11"/>
  <c r="L53" i="11"/>
  <c r="P53" i="11" s="1"/>
  <c r="Q17" i="11"/>
  <c r="O11" i="11"/>
  <c r="P10" i="11"/>
  <c r="P24" i="11"/>
  <c r="L37" i="11"/>
  <c r="L125" i="11"/>
  <c r="O57" i="11"/>
  <c r="Q25" i="11"/>
  <c r="P57" i="11"/>
  <c r="O38" i="11"/>
  <c r="P39" i="11"/>
  <c r="O47" i="11"/>
  <c r="Q46" i="11"/>
  <c r="P47" i="11"/>
  <c r="L62" i="6"/>
  <c r="Q103" i="11"/>
  <c r="P103" i="11"/>
  <c r="O103" i="11"/>
  <c r="Q100" i="11"/>
  <c r="P100" i="11"/>
  <c r="O100" i="11"/>
  <c r="Q115" i="11"/>
  <c r="P115" i="11"/>
  <c r="O115" i="11"/>
  <c r="Q121" i="11"/>
  <c r="P121" i="11"/>
  <c r="O121" i="11"/>
  <c r="P90" i="11"/>
  <c r="O90" i="11"/>
  <c r="Q90" i="11"/>
  <c r="O156" i="11"/>
  <c r="Q156" i="11"/>
  <c r="P156" i="11"/>
  <c r="P102" i="11"/>
  <c r="O102" i="11"/>
  <c r="Q102" i="11"/>
  <c r="O73" i="11"/>
  <c r="Q73" i="11"/>
  <c r="P73" i="11"/>
  <c r="P120" i="11"/>
  <c r="O120" i="11"/>
  <c r="Q120" i="11"/>
  <c r="P70" i="11"/>
  <c r="O70" i="11"/>
  <c r="P117" i="11"/>
  <c r="O117" i="11"/>
  <c r="Q117" i="11"/>
  <c r="O61" i="11"/>
  <c r="L85" i="11"/>
  <c r="L118" i="11"/>
  <c r="P142" i="11"/>
  <c r="L88" i="11"/>
  <c r="O12" i="11"/>
  <c r="O18" i="11"/>
  <c r="P25" i="11"/>
  <c r="O151" i="11"/>
  <c r="O44" i="11"/>
  <c r="P58" i="11"/>
  <c r="O153" i="11"/>
  <c r="L78" i="11"/>
  <c r="L81" i="11"/>
  <c r="L108" i="11"/>
  <c r="L126" i="11"/>
  <c r="Q142" i="11"/>
  <c r="O58" i="11"/>
  <c r="P12" i="11"/>
  <c r="P18" i="11"/>
  <c r="P151" i="11"/>
  <c r="P44" i="11"/>
  <c r="L55" i="11"/>
  <c r="L62" i="11"/>
  <c r="P153" i="11"/>
  <c r="O22" i="11"/>
  <c r="Q44" i="11"/>
  <c r="O59" i="11"/>
  <c r="Q153" i="11"/>
  <c r="L71" i="11"/>
  <c r="L86" i="11"/>
  <c r="L89" i="11"/>
  <c r="L101" i="11"/>
  <c r="L116" i="11"/>
  <c r="L119" i="11"/>
  <c r="O140" i="11"/>
  <c r="O9" i="11"/>
  <c r="O19" i="11"/>
  <c r="P22" i="11"/>
  <c r="O28" i="11"/>
  <c r="O45" i="11"/>
  <c r="P59" i="11"/>
  <c r="O154" i="11"/>
  <c r="P140" i="11"/>
  <c r="P54" i="11"/>
  <c r="P9" i="11"/>
  <c r="P19" i="11"/>
  <c r="P28" i="11"/>
  <c r="P45" i="11"/>
  <c r="P154" i="11"/>
  <c r="L79" i="11"/>
  <c r="L94" i="11"/>
  <c r="L96" i="11" s="1"/>
  <c r="L109" i="11"/>
  <c r="L127" i="11"/>
  <c r="Q140" i="11"/>
  <c r="O56" i="11"/>
  <c r="L60" i="11"/>
  <c r="Q154" i="11"/>
  <c r="L141" i="11"/>
  <c r="L143" i="11" s="1"/>
  <c r="O46" i="11"/>
  <c r="P56" i="11"/>
  <c r="O63" i="11"/>
  <c r="L161" i="11"/>
  <c r="E22" i="2"/>
  <c r="E21" i="2"/>
  <c r="E20" i="2"/>
  <c r="C24" i="2"/>
  <c r="E5" i="2"/>
  <c r="D15" i="2"/>
  <c r="N71" i="11" s="1"/>
  <c r="B15" i="2"/>
  <c r="N69" i="11" s="1"/>
  <c r="E9" i="2"/>
  <c r="E12" i="2"/>
  <c r="E8" i="2"/>
  <c r="E10" i="2"/>
  <c r="E7" i="2"/>
  <c r="E6" i="2"/>
  <c r="E24" i="2" l="1"/>
  <c r="C146" i="11"/>
  <c r="K133" i="11"/>
  <c r="J129" i="11"/>
  <c r="P152" i="11"/>
  <c r="P157" i="11" s="1"/>
  <c r="Q107" i="11"/>
  <c r="J8" i="11"/>
  <c r="J13" i="11" s="1"/>
  <c r="J20" i="11"/>
  <c r="L20" i="11" s="1"/>
  <c r="J21" i="11"/>
  <c r="L21" i="11" s="1"/>
  <c r="Z29" i="11"/>
  <c r="Q152" i="11"/>
  <c r="Q157" i="11" s="1"/>
  <c r="O152" i="11"/>
  <c r="O157" i="11" s="1"/>
  <c r="Q114" i="11"/>
  <c r="J49" i="11"/>
  <c r="J65" i="11" s="1"/>
  <c r="O114" i="11"/>
  <c r="P99" i="11"/>
  <c r="Q99" i="11"/>
  <c r="Z49" i="11"/>
  <c r="Z65" i="11" s="1"/>
  <c r="L82" i="11"/>
  <c r="O52" i="11"/>
  <c r="L104" i="11"/>
  <c r="P43" i="11"/>
  <c r="P48" i="11" s="1"/>
  <c r="Q77" i="11"/>
  <c r="L91" i="11"/>
  <c r="O77" i="11"/>
  <c r="L74" i="11"/>
  <c r="P77" i="11"/>
  <c r="L128" i="11"/>
  <c r="O69" i="11"/>
  <c r="O107" i="11"/>
  <c r="L111" i="11"/>
  <c r="P69" i="11"/>
  <c r="L122" i="11"/>
  <c r="L64" i="11"/>
  <c r="O43" i="11"/>
  <c r="O48" i="11" s="1"/>
  <c r="L48" i="11"/>
  <c r="O37" i="11"/>
  <c r="O40" i="11" s="1"/>
  <c r="L40" i="11"/>
  <c r="Q69" i="11"/>
  <c r="O53" i="11"/>
  <c r="L26" i="11"/>
  <c r="P37" i="11"/>
  <c r="P40" i="11" s="1"/>
  <c r="Q125" i="11"/>
  <c r="P125" i="11"/>
  <c r="O125" i="11"/>
  <c r="P62" i="11"/>
  <c r="O62" i="11"/>
  <c r="P60" i="11"/>
  <c r="O60" i="11"/>
  <c r="Q88" i="11"/>
  <c r="P88" i="11"/>
  <c r="O88" i="11"/>
  <c r="Q119" i="11"/>
  <c r="P119" i="11"/>
  <c r="O119" i="11"/>
  <c r="Q118" i="11"/>
  <c r="P118" i="11"/>
  <c r="O118" i="11"/>
  <c r="Q108" i="11"/>
  <c r="P108" i="11"/>
  <c r="O108" i="11"/>
  <c r="Q79" i="11"/>
  <c r="P79" i="11"/>
  <c r="O79" i="11"/>
  <c r="P55" i="11"/>
  <c r="O55" i="11"/>
  <c r="Q101" i="11"/>
  <c r="P101" i="11"/>
  <c r="O101" i="11"/>
  <c r="O104" i="11" s="1"/>
  <c r="O161" i="11"/>
  <c r="Q161" i="11"/>
  <c r="Q71" i="11"/>
  <c r="P71" i="11"/>
  <c r="O71" i="11"/>
  <c r="Q81" i="11"/>
  <c r="P81" i="11"/>
  <c r="O81" i="11"/>
  <c r="Q85" i="11"/>
  <c r="P85" i="11"/>
  <c r="O85" i="11"/>
  <c r="Q116" i="11"/>
  <c r="P116" i="11"/>
  <c r="O116" i="11"/>
  <c r="Q127" i="11"/>
  <c r="P127" i="11"/>
  <c r="O127" i="11"/>
  <c r="Q78" i="11"/>
  <c r="P78" i="11"/>
  <c r="O78" i="11"/>
  <c r="Q109" i="11"/>
  <c r="P109" i="11"/>
  <c r="O109" i="11"/>
  <c r="Q89" i="11"/>
  <c r="P89" i="11"/>
  <c r="O89" i="11"/>
  <c r="Q86" i="11"/>
  <c r="P86" i="11"/>
  <c r="O86" i="11"/>
  <c r="Q141" i="11"/>
  <c r="Q143" i="11" s="1"/>
  <c r="P141" i="11"/>
  <c r="P143" i="11" s="1"/>
  <c r="O141" i="11"/>
  <c r="O143" i="11" s="1"/>
  <c r="Q94" i="11"/>
  <c r="Q96" i="11" s="1"/>
  <c r="P94" i="11"/>
  <c r="P96" i="11" s="1"/>
  <c r="O94" i="11"/>
  <c r="O96" i="11" s="1"/>
  <c r="Q126" i="11"/>
  <c r="P126" i="11"/>
  <c r="O126" i="11"/>
  <c r="C15" i="2"/>
  <c r="J73" i="6"/>
  <c r="J77" i="6" s="1"/>
  <c r="I73" i="6"/>
  <c r="I77" i="6" s="1"/>
  <c r="H73" i="6"/>
  <c r="H77" i="6" s="1"/>
  <c r="G73" i="6"/>
  <c r="G77" i="6" s="1"/>
  <c r="F73" i="6"/>
  <c r="F77" i="6" s="1"/>
  <c r="E73" i="6"/>
  <c r="E77" i="6" s="1"/>
  <c r="D73" i="6"/>
  <c r="F49" i="6"/>
  <c r="D80" i="6"/>
  <c r="E80" i="6" s="1"/>
  <c r="F80" i="6" s="1"/>
  <c r="G80" i="6" s="1"/>
  <c r="H80" i="6" s="1"/>
  <c r="J21" i="6"/>
  <c r="J50" i="6" s="1"/>
  <c r="I21" i="6"/>
  <c r="I50" i="6" s="1"/>
  <c r="H21" i="6"/>
  <c r="H50" i="6" s="1"/>
  <c r="G21" i="6"/>
  <c r="G50" i="6" s="1"/>
  <c r="F21" i="6"/>
  <c r="F50" i="6" s="1"/>
  <c r="E21" i="6"/>
  <c r="E50" i="6" s="1"/>
  <c r="D21" i="6"/>
  <c r="C32" i="6"/>
  <c r="C35" i="6"/>
  <c r="C29" i="6"/>
  <c r="H6" i="6"/>
  <c r="G6" i="6"/>
  <c r="F6" i="6"/>
  <c r="E6" i="6"/>
  <c r="D6" i="6"/>
  <c r="D24" i="6" s="1"/>
  <c r="K13" i="6"/>
  <c r="K12" i="6"/>
  <c r="K11" i="6"/>
  <c r="K10" i="6"/>
  <c r="K5" i="6"/>
  <c r="S133" i="11" l="1"/>
  <c r="J131" i="11"/>
  <c r="L129" i="11"/>
  <c r="J27" i="11"/>
  <c r="J29" i="11" s="1"/>
  <c r="J31" i="11" s="1"/>
  <c r="L8" i="11"/>
  <c r="Q8" i="11" s="1"/>
  <c r="P104" i="11"/>
  <c r="L49" i="11"/>
  <c r="L65" i="11" s="1"/>
  <c r="O49" i="11"/>
  <c r="O21" i="11"/>
  <c r="P21" i="11"/>
  <c r="Q104" i="11"/>
  <c r="P111" i="11"/>
  <c r="O122" i="11"/>
  <c r="O91" i="11"/>
  <c r="O128" i="11"/>
  <c r="P91" i="11"/>
  <c r="P128" i="11"/>
  <c r="O74" i="11"/>
  <c r="Q128" i="11"/>
  <c r="Q122" i="11"/>
  <c r="Q82" i="11"/>
  <c r="Q111" i="11"/>
  <c r="Q91" i="11"/>
  <c r="O82" i="11"/>
  <c r="P122" i="11"/>
  <c r="P49" i="11"/>
  <c r="P82" i="11"/>
  <c r="P64" i="11"/>
  <c r="P74" i="11"/>
  <c r="O111" i="11"/>
  <c r="O64" i="11"/>
  <c r="Q26" i="11"/>
  <c r="Q20" i="11"/>
  <c r="L27" i="11"/>
  <c r="E15" i="2"/>
  <c r="N70" i="11"/>
  <c r="D77" i="6"/>
  <c r="K73" i="6"/>
  <c r="O26" i="11"/>
  <c r="P26" i="11"/>
  <c r="O20" i="11"/>
  <c r="P20" i="11"/>
  <c r="K77" i="6"/>
  <c r="K6" i="6"/>
  <c r="P129" i="11" l="1"/>
  <c r="O65" i="11"/>
  <c r="K146" i="11"/>
  <c r="S146" i="11" s="1"/>
  <c r="S145" i="11"/>
  <c r="J133" i="11"/>
  <c r="L131" i="11"/>
  <c r="O129" i="11"/>
  <c r="O8" i="11"/>
  <c r="O13" i="11" s="1"/>
  <c r="O31" i="11" s="1"/>
  <c r="L13" i="11"/>
  <c r="L31" i="11" s="1"/>
  <c r="P8" i="11"/>
  <c r="P13" i="11" s="1"/>
  <c r="P31" i="11" s="1"/>
  <c r="P65" i="11"/>
  <c r="P131" i="11" s="1"/>
  <c r="N74" i="11"/>
  <c r="L29" i="11"/>
  <c r="O27" i="11"/>
  <c r="O29" i="11" s="1"/>
  <c r="P27" i="11"/>
  <c r="P29" i="11" s="1"/>
  <c r="Q70" i="11"/>
  <c r="Q74" i="11" s="1"/>
  <c r="N9" i="11"/>
  <c r="M77" i="6"/>
  <c r="O131" i="11" l="1"/>
  <c r="J146" i="11"/>
  <c r="N129" i="11"/>
  <c r="Q129" i="11"/>
  <c r="P133" i="11"/>
  <c r="L133" i="11"/>
  <c r="Q9" i="11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O33" i="9"/>
  <c r="N33" i="9"/>
  <c r="M33" i="9"/>
  <c r="L33" i="9"/>
  <c r="K33" i="9"/>
  <c r="J33" i="9"/>
  <c r="I33" i="9"/>
  <c r="H33" i="9"/>
  <c r="G33" i="9"/>
  <c r="F33" i="9"/>
  <c r="E33" i="9"/>
  <c r="D33" i="9"/>
  <c r="E75" i="6"/>
  <c r="E79" i="6"/>
  <c r="K79" i="6" s="1"/>
  <c r="J75" i="6"/>
  <c r="I75" i="6"/>
  <c r="K49" i="6"/>
  <c r="M49" i="6" s="1"/>
  <c r="J60" i="6"/>
  <c r="I60" i="6"/>
  <c r="J59" i="6"/>
  <c r="I59" i="6"/>
  <c r="J57" i="6"/>
  <c r="I57" i="6"/>
  <c r="G60" i="6"/>
  <c r="G59" i="6"/>
  <c r="G58" i="6"/>
  <c r="G57" i="6"/>
  <c r="G56" i="6"/>
  <c r="G55" i="6"/>
  <c r="G54" i="6"/>
  <c r="G53" i="6"/>
  <c r="G52" i="6"/>
  <c r="G51" i="6"/>
  <c r="G75" i="6"/>
  <c r="J29" i="6"/>
  <c r="I29" i="6"/>
  <c r="G29" i="6"/>
  <c r="G35" i="6"/>
  <c r="H34" i="6"/>
  <c r="G34" i="6"/>
  <c r="F34" i="6"/>
  <c r="E34" i="6"/>
  <c r="H33" i="6"/>
  <c r="G33" i="6"/>
  <c r="G45" i="6" s="1"/>
  <c r="F33" i="6"/>
  <c r="E33" i="6"/>
  <c r="J25" i="6"/>
  <c r="I25" i="6"/>
  <c r="H25" i="6"/>
  <c r="G25" i="6"/>
  <c r="F25" i="6"/>
  <c r="E25" i="6"/>
  <c r="J27" i="6"/>
  <c r="I27" i="6"/>
  <c r="H27" i="6"/>
  <c r="G27" i="6"/>
  <c r="F27" i="6"/>
  <c r="E27" i="6"/>
  <c r="J26" i="6"/>
  <c r="I26" i="6"/>
  <c r="H26" i="6"/>
  <c r="G26" i="6"/>
  <c r="F26" i="6"/>
  <c r="E26" i="6"/>
  <c r="J24" i="6"/>
  <c r="I24" i="6"/>
  <c r="H24" i="6"/>
  <c r="G24" i="6"/>
  <c r="F24" i="6"/>
  <c r="E24" i="6"/>
  <c r="J7" i="6"/>
  <c r="J28" i="6" s="1"/>
  <c r="I7" i="6"/>
  <c r="I28" i="6" s="1"/>
  <c r="G7" i="6"/>
  <c r="G28" i="6" s="1"/>
  <c r="G40" i="6" l="1"/>
  <c r="I40" i="6"/>
  <c r="G39" i="6"/>
  <c r="I39" i="6"/>
  <c r="J39" i="6"/>
  <c r="O133" i="11"/>
  <c r="O146" i="11" s="1"/>
  <c r="P146" i="11"/>
  <c r="T133" i="11"/>
  <c r="T131" i="11"/>
  <c r="T129" i="11"/>
  <c r="AI26" i="11"/>
  <c r="AI25" i="11"/>
  <c r="AI12" i="11"/>
  <c r="AI24" i="11"/>
  <c r="AI11" i="11"/>
  <c r="AI23" i="11"/>
  <c r="AI19" i="11"/>
  <c r="AI10" i="11"/>
  <c r="AI22" i="11"/>
  <c r="AI18" i="11"/>
  <c r="AI9" i="11"/>
  <c r="AI28" i="11"/>
  <c r="AI7" i="11"/>
  <c r="AI17" i="11"/>
  <c r="AI8" i="11"/>
  <c r="AI21" i="11"/>
  <c r="AI20" i="11"/>
  <c r="AI27" i="11"/>
  <c r="AI13" i="11"/>
  <c r="AI49" i="11"/>
  <c r="AI29" i="11"/>
  <c r="N21" i="11"/>
  <c r="M79" i="6"/>
  <c r="N52" i="11"/>
  <c r="J61" i="6"/>
  <c r="I61" i="6"/>
  <c r="G61" i="6"/>
  <c r="P33" i="9"/>
  <c r="G32" i="6"/>
  <c r="G31" i="6"/>
  <c r="G36" i="6" s="1"/>
  <c r="I31" i="6"/>
  <c r="I32" i="6"/>
  <c r="G30" i="6"/>
  <c r="I30" i="6"/>
  <c r="J31" i="6"/>
  <c r="J32" i="6"/>
  <c r="J30" i="6"/>
  <c r="J40" i="6" s="1"/>
  <c r="J36" i="6" l="1"/>
  <c r="I36" i="6"/>
  <c r="L146" i="11"/>
  <c r="T146" i="11" s="1"/>
  <c r="T49" i="11"/>
  <c r="T12" i="11"/>
  <c r="T10" i="11"/>
  <c r="T25" i="11"/>
  <c r="T11" i="11"/>
  <c r="T19" i="11"/>
  <c r="T24" i="11"/>
  <c r="T23" i="11"/>
  <c r="T28" i="11"/>
  <c r="T17" i="11"/>
  <c r="T9" i="11"/>
  <c r="T22" i="11"/>
  <c r="T18" i="11"/>
  <c r="T21" i="11"/>
  <c r="T8" i="11"/>
  <c r="T26" i="11"/>
  <c r="T20" i="11"/>
  <c r="T13" i="11"/>
  <c r="T27" i="11"/>
  <c r="T29" i="11"/>
  <c r="I41" i="6"/>
  <c r="I42" i="6" s="1"/>
  <c r="G41" i="6"/>
  <c r="G42" i="6" s="1"/>
  <c r="J41" i="6"/>
  <c r="J42" i="6" s="1"/>
  <c r="Q21" i="11"/>
  <c r="Q52" i="11"/>
  <c r="H60" i="6"/>
  <c r="F60" i="6"/>
  <c r="E60" i="6"/>
  <c r="D60" i="6"/>
  <c r="H59" i="6"/>
  <c r="F59" i="6"/>
  <c r="E59" i="6"/>
  <c r="D59" i="6"/>
  <c r="H58" i="6"/>
  <c r="F58" i="6"/>
  <c r="E58" i="6"/>
  <c r="D58" i="6"/>
  <c r="H57" i="6"/>
  <c r="F57" i="6"/>
  <c r="E57" i="6"/>
  <c r="D57" i="6"/>
  <c r="H56" i="6"/>
  <c r="F56" i="6"/>
  <c r="E56" i="6"/>
  <c r="D56" i="6"/>
  <c r="H55" i="6"/>
  <c r="F55" i="6"/>
  <c r="E55" i="6"/>
  <c r="D55" i="6"/>
  <c r="H54" i="6"/>
  <c r="F54" i="6"/>
  <c r="E54" i="6"/>
  <c r="D54" i="6"/>
  <c r="H51" i="6"/>
  <c r="F51" i="6"/>
  <c r="E51" i="6"/>
  <c r="D51" i="6"/>
  <c r="H53" i="6"/>
  <c r="F53" i="6"/>
  <c r="E53" i="6"/>
  <c r="D53" i="6"/>
  <c r="H52" i="6"/>
  <c r="F52" i="6"/>
  <c r="E52" i="6"/>
  <c r="D52" i="6"/>
  <c r="K81" i="6"/>
  <c r="M81" i="6" s="1"/>
  <c r="K80" i="6"/>
  <c r="J9" i="7"/>
  <c r="H9" i="7"/>
  <c r="F9" i="7"/>
  <c r="L23" i="7"/>
  <c r="L22" i="7"/>
  <c r="L14" i="7"/>
  <c r="L31" i="7"/>
  <c r="L15" i="7"/>
  <c r="L28" i="7"/>
  <c r="L21" i="7"/>
  <c r="L20" i="7"/>
  <c r="L25" i="7"/>
  <c r="L16" i="7"/>
  <c r="L29" i="7"/>
  <c r="L19" i="7"/>
  <c r="L18" i="7"/>
  <c r="L17" i="7"/>
  <c r="L27" i="7"/>
  <c r="L26" i="7"/>
  <c r="L24" i="7"/>
  <c r="L30" i="7"/>
  <c r="L13" i="7"/>
  <c r="J32" i="7"/>
  <c r="J36" i="7" s="1"/>
  <c r="H32" i="7"/>
  <c r="F32" i="7"/>
  <c r="F34" i="7" s="1"/>
  <c r="F36" i="7" s="1"/>
  <c r="D32" i="7"/>
  <c r="D34" i="7" s="1"/>
  <c r="B32" i="7"/>
  <c r="D9" i="7"/>
  <c r="B9" i="7"/>
  <c r="M80" i="6" l="1"/>
  <c r="N23" i="11"/>
  <c r="K55" i="6"/>
  <c r="M55" i="6" s="1"/>
  <c r="J46" i="6"/>
  <c r="J62" i="6" s="1"/>
  <c r="K53" i="6"/>
  <c r="M53" i="6" s="1"/>
  <c r="I46" i="6"/>
  <c r="I62" i="6" s="1"/>
  <c r="G46" i="6"/>
  <c r="G62" i="6" s="1"/>
  <c r="K58" i="6"/>
  <c r="M58" i="6" s="1"/>
  <c r="K52" i="6"/>
  <c r="M52" i="6" s="1"/>
  <c r="K60" i="6"/>
  <c r="M60" i="6" s="1"/>
  <c r="K57" i="6"/>
  <c r="M57" i="6" s="1"/>
  <c r="K56" i="6"/>
  <c r="M56" i="6" s="1"/>
  <c r="K59" i="6"/>
  <c r="M59" i="6" s="1"/>
  <c r="K54" i="6"/>
  <c r="M54" i="6" s="1"/>
  <c r="K51" i="6"/>
  <c r="M51" i="6" s="1"/>
  <c r="L32" i="7"/>
  <c r="H34" i="7"/>
  <c r="D36" i="7"/>
  <c r="N27" i="11" l="1"/>
  <c r="Q23" i="11"/>
  <c r="Q27" i="11" s="1"/>
  <c r="Q29" i="11" s="1"/>
  <c r="N61" i="11"/>
  <c r="N59" i="11"/>
  <c r="N63" i="11"/>
  <c r="N55" i="11"/>
  <c r="N54" i="11"/>
  <c r="N57" i="11"/>
  <c r="N62" i="11"/>
  <c r="N56" i="11"/>
  <c r="N60" i="11"/>
  <c r="N58" i="11"/>
  <c r="H36" i="7"/>
  <c r="Q60" i="11" l="1"/>
  <c r="Q62" i="11"/>
  <c r="Q59" i="11"/>
  <c r="Q58" i="11"/>
  <c r="Q56" i="11"/>
  <c r="Q57" i="11"/>
  <c r="Q54" i="11"/>
  <c r="Q55" i="11"/>
  <c r="Q63" i="11"/>
  <c r="Q61" i="11"/>
  <c r="N29" i="11"/>
  <c r="H61" i="6"/>
  <c r="F61" i="6"/>
  <c r="D50" i="6"/>
  <c r="D61" i="6" s="1"/>
  <c r="K21" i="6" l="1"/>
  <c r="E61" i="6"/>
  <c r="K50" i="6" l="1"/>
  <c r="K24" i="6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F74" i="4"/>
  <c r="H29" i="6"/>
  <c r="F29" i="6"/>
  <c r="E29" i="6"/>
  <c r="D29" i="6"/>
  <c r="H35" i="6"/>
  <c r="H45" i="6" s="1"/>
  <c r="F35" i="6"/>
  <c r="F45" i="6" s="1"/>
  <c r="E35" i="6"/>
  <c r="E45" i="6" s="1"/>
  <c r="D35" i="6"/>
  <c r="D34" i="6"/>
  <c r="K34" i="6" s="1"/>
  <c r="M34" i="6" s="1"/>
  <c r="D33" i="6"/>
  <c r="D45" i="6" s="1"/>
  <c r="D25" i="6"/>
  <c r="D27" i="6"/>
  <c r="K27" i="6" s="1"/>
  <c r="M27" i="6" s="1"/>
  <c r="D26" i="6"/>
  <c r="H75" i="6"/>
  <c r="F75" i="6"/>
  <c r="H7" i="6"/>
  <c r="F7" i="6"/>
  <c r="E7" i="6"/>
  <c r="D7" i="6"/>
  <c r="K45" i="6" l="1"/>
  <c r="M24" i="6"/>
  <c r="N53" i="11"/>
  <c r="M50" i="6"/>
  <c r="M61" i="6" s="1"/>
  <c r="K61" i="6"/>
  <c r="K33" i="6"/>
  <c r="M33" i="6" s="1"/>
  <c r="K26" i="6"/>
  <c r="M26" i="6" s="1"/>
  <c r="K25" i="6"/>
  <c r="M25" i="6" s="1"/>
  <c r="K7" i="6"/>
  <c r="D75" i="6"/>
  <c r="K29" i="6"/>
  <c r="M29" i="6" s="1"/>
  <c r="K35" i="6"/>
  <c r="M35" i="6" s="1"/>
  <c r="E32" i="6"/>
  <c r="E28" i="6"/>
  <c r="E39" i="6" s="1"/>
  <c r="E30" i="6"/>
  <c r="E40" i="6" s="1"/>
  <c r="E31" i="6"/>
  <c r="E36" i="6" s="1"/>
  <c r="F32" i="6"/>
  <c r="F28" i="6"/>
  <c r="F39" i="6" s="1"/>
  <c r="F30" i="6"/>
  <c r="F40" i="6" s="1"/>
  <c r="F31" i="6"/>
  <c r="H31" i="6"/>
  <c r="H28" i="6"/>
  <c r="H39" i="6" s="1"/>
  <c r="H30" i="6"/>
  <c r="H40" i="6" s="1"/>
  <c r="H32" i="6"/>
  <c r="D28" i="6"/>
  <c r="D39" i="6" s="1"/>
  <c r="D32" i="6"/>
  <c r="D30" i="6"/>
  <c r="D40" i="6" s="1"/>
  <c r="D31" i="6"/>
  <c r="D41" i="6" s="1"/>
  <c r="F36" i="6" l="1"/>
  <c r="H36" i="6"/>
  <c r="K75" i="6"/>
  <c r="K46" i="6"/>
  <c r="M45" i="6"/>
  <c r="Q53" i="11"/>
  <c r="Q64" i="11" s="1"/>
  <c r="N64" i="11"/>
  <c r="H41" i="6"/>
  <c r="H42" i="6" s="1"/>
  <c r="H46" i="6" s="1"/>
  <c r="F41" i="6"/>
  <c r="F42" i="6" s="1"/>
  <c r="E41" i="6"/>
  <c r="E42" i="6" s="1"/>
  <c r="N7" i="11"/>
  <c r="M75" i="6"/>
  <c r="N45" i="11"/>
  <c r="K39" i="6"/>
  <c r="K31" i="6"/>
  <c r="M31" i="6" s="1"/>
  <c r="K40" i="6"/>
  <c r="M40" i="6" s="1"/>
  <c r="K30" i="6"/>
  <c r="M30" i="6" s="1"/>
  <c r="K32" i="6"/>
  <c r="M32" i="6" s="1"/>
  <c r="K28" i="6"/>
  <c r="M28" i="6" s="1"/>
  <c r="D36" i="6"/>
  <c r="M36" i="6" l="1"/>
  <c r="K36" i="6"/>
  <c r="Q45" i="11"/>
  <c r="Q48" i="11" s="1"/>
  <c r="N48" i="11"/>
  <c r="N13" i="11"/>
  <c r="N31" i="11" s="1"/>
  <c r="Q7" i="11"/>
  <c r="Q13" i="11" s="1"/>
  <c r="Q31" i="11" s="1"/>
  <c r="N38" i="11"/>
  <c r="M39" i="6"/>
  <c r="N37" i="11" s="1"/>
  <c r="F46" i="6"/>
  <c r="F62" i="6" s="1"/>
  <c r="E46" i="6"/>
  <c r="E62" i="6" s="1"/>
  <c r="K41" i="6"/>
  <c r="M41" i="6" s="1"/>
  <c r="H62" i="6"/>
  <c r="D42" i="6"/>
  <c r="D46" i="6" s="1"/>
  <c r="U129" i="11" l="1"/>
  <c r="Q37" i="11"/>
  <c r="Q38" i="11"/>
  <c r="D62" i="6"/>
  <c r="K42" i="6"/>
  <c r="F57" i="4"/>
  <c r="E57" i="4"/>
  <c r="D57" i="4"/>
  <c r="C57" i="4"/>
  <c r="F46" i="4"/>
  <c r="F36" i="4"/>
  <c r="E36" i="4"/>
  <c r="F27" i="4"/>
  <c r="F20" i="4"/>
  <c r="F9" i="4"/>
  <c r="G6" i="4"/>
  <c r="G5" i="4"/>
  <c r="G4" i="4"/>
  <c r="G3" i="4"/>
  <c r="P15" i="2"/>
  <c r="D34" i="1" s="1"/>
  <c r="N15" i="2"/>
  <c r="D32" i="1" s="1"/>
  <c r="O12" i="2"/>
  <c r="Q12" i="2" s="1"/>
  <c r="O8" i="2"/>
  <c r="Q8" i="2" s="1"/>
  <c r="O13" i="2"/>
  <c r="Q13" i="2" s="1"/>
  <c r="O7" i="2"/>
  <c r="Q7" i="2" s="1"/>
  <c r="O6" i="2"/>
  <c r="Q6" i="2" s="1"/>
  <c r="O5" i="2"/>
  <c r="O15" i="2" l="1"/>
  <c r="D33" i="1" s="1"/>
  <c r="D35" i="1" s="1"/>
  <c r="Q15" i="2"/>
  <c r="M42" i="6"/>
  <c r="M46" i="6" s="1"/>
  <c r="M62" i="6" s="1"/>
  <c r="N39" i="11"/>
  <c r="K62" i="6"/>
  <c r="N40" i="11" l="1"/>
  <c r="N49" i="11" s="1"/>
  <c r="Q39" i="11"/>
  <c r="Q40" i="11" s="1"/>
  <c r="Q49" i="11" s="1"/>
  <c r="Q65" i="11" s="1"/>
  <c r="Q131" i="11" l="1"/>
  <c r="Q133" i="11" s="1"/>
  <c r="Q145" i="11" s="1"/>
  <c r="U114" i="11"/>
  <c r="U102" i="11"/>
  <c r="U88" i="11"/>
  <c r="U127" i="11"/>
  <c r="U109" i="11"/>
  <c r="U85" i="11"/>
  <c r="U101" i="11"/>
  <c r="U87" i="11"/>
  <c r="U110" i="11"/>
  <c r="U126" i="11"/>
  <c r="U117" i="11"/>
  <c r="U116" i="11"/>
  <c r="U115" i="11"/>
  <c r="U121" i="11"/>
  <c r="U100" i="11"/>
  <c r="U94" i="11"/>
  <c r="U78" i="11"/>
  <c r="U107" i="11"/>
  <c r="U72" i="11"/>
  <c r="U142" i="11"/>
  <c r="U120" i="11"/>
  <c r="U99" i="11"/>
  <c r="U81" i="11"/>
  <c r="U108" i="11"/>
  <c r="U89" i="11"/>
  <c r="U141" i="11"/>
  <c r="U119" i="11"/>
  <c r="U80" i="11"/>
  <c r="U77" i="11"/>
  <c r="U91" i="11"/>
  <c r="U90" i="11"/>
  <c r="U140" i="11"/>
  <c r="U118" i="11"/>
  <c r="U95" i="11"/>
  <c r="U79" i="11"/>
  <c r="U86" i="11"/>
  <c r="U125" i="11"/>
  <c r="U73" i="11"/>
  <c r="U103" i="11"/>
  <c r="U82" i="11"/>
  <c r="U111" i="11"/>
  <c r="U128" i="11"/>
  <c r="U96" i="11"/>
  <c r="U104" i="11"/>
  <c r="U122" i="11"/>
  <c r="U69" i="11"/>
  <c r="U71" i="11"/>
  <c r="U70" i="11"/>
  <c r="U74" i="11"/>
  <c r="U47" i="11"/>
  <c r="U46" i="11"/>
  <c r="U43" i="11"/>
  <c r="U44" i="11"/>
  <c r="U52" i="11"/>
  <c r="U54" i="11"/>
  <c r="U62" i="11"/>
  <c r="U55" i="11"/>
  <c r="U63" i="11"/>
  <c r="U58" i="11"/>
  <c r="U57" i="11"/>
  <c r="U60" i="11"/>
  <c r="U59" i="11"/>
  <c r="U61" i="11"/>
  <c r="U56" i="11"/>
  <c r="U53" i="11"/>
  <c r="U45" i="11"/>
  <c r="U64" i="11"/>
  <c r="U48" i="11"/>
  <c r="U49" i="11"/>
  <c r="N65" i="11"/>
  <c r="U19" i="11"/>
  <c r="U12" i="11"/>
  <c r="U10" i="11"/>
  <c r="U17" i="11"/>
  <c r="U136" i="11"/>
  <c r="U22" i="11"/>
  <c r="U18" i="11"/>
  <c r="U11" i="11"/>
  <c r="U26" i="11"/>
  <c r="U20" i="11"/>
  <c r="U24" i="11"/>
  <c r="U31" i="11"/>
  <c r="U28" i="11"/>
  <c r="U137" i="11"/>
  <c r="U8" i="11"/>
  <c r="U25" i="11"/>
  <c r="U9" i="11"/>
  <c r="U21" i="11"/>
  <c r="U23" i="11"/>
  <c r="U27" i="11"/>
  <c r="U29" i="11"/>
  <c r="U7" i="11"/>
  <c r="U37" i="11"/>
  <c r="U38" i="11"/>
  <c r="U13" i="11"/>
  <c r="U40" i="11"/>
  <c r="U39" i="11"/>
  <c r="Q146" i="11" l="1"/>
  <c r="N131" i="11"/>
  <c r="U65" i="11"/>
  <c r="G56" i="4"/>
  <c r="I56" i="4" s="1"/>
  <c r="G55" i="4"/>
  <c r="I55" i="4" s="1"/>
  <c r="G54" i="4"/>
  <c r="I54" i="4" s="1"/>
  <c r="G53" i="4"/>
  <c r="I53" i="4" s="1"/>
  <c r="G52" i="4"/>
  <c r="I52" i="4" s="1"/>
  <c r="G51" i="4"/>
  <c r="G45" i="4"/>
  <c r="G44" i="4"/>
  <c r="I44" i="4" s="1"/>
  <c r="G43" i="4"/>
  <c r="I43" i="4" s="1"/>
  <c r="G42" i="4"/>
  <c r="I42" i="4" s="1"/>
  <c r="G41" i="4"/>
  <c r="I41" i="4" s="1"/>
  <c r="G40" i="4"/>
  <c r="I40" i="4" s="1"/>
  <c r="G39" i="4"/>
  <c r="I39" i="4" s="1"/>
  <c r="J74" i="4"/>
  <c r="I74" i="4"/>
  <c r="E74" i="4"/>
  <c r="D74" i="4"/>
  <c r="C74" i="4"/>
  <c r="B74" i="4"/>
  <c r="B57" i="4"/>
  <c r="I45" i="4"/>
  <c r="J46" i="4"/>
  <c r="E46" i="4"/>
  <c r="D46" i="4"/>
  <c r="C46" i="4"/>
  <c r="B46" i="4"/>
  <c r="G35" i="4"/>
  <c r="G34" i="4"/>
  <c r="G33" i="4"/>
  <c r="G32" i="4"/>
  <c r="G31" i="4"/>
  <c r="G30" i="4"/>
  <c r="G26" i="4"/>
  <c r="G25" i="4"/>
  <c r="G24" i="4"/>
  <c r="G23" i="4"/>
  <c r="G19" i="4"/>
  <c r="G18" i="4"/>
  <c r="G17" i="4"/>
  <c r="G16" i="4"/>
  <c r="G15" i="4"/>
  <c r="G14" i="4"/>
  <c r="G13" i="4"/>
  <c r="G12" i="4"/>
  <c r="G8" i="4"/>
  <c r="G7" i="4"/>
  <c r="J36" i="4"/>
  <c r="D36" i="4"/>
  <c r="C36" i="4"/>
  <c r="B36" i="4"/>
  <c r="J27" i="4"/>
  <c r="E27" i="4"/>
  <c r="D27" i="4"/>
  <c r="C27" i="4"/>
  <c r="J20" i="4"/>
  <c r="E20" i="4"/>
  <c r="D20" i="4"/>
  <c r="C20" i="4"/>
  <c r="B20" i="4"/>
  <c r="J9" i="4"/>
  <c r="E9" i="4"/>
  <c r="D9" i="4"/>
  <c r="C9" i="4"/>
  <c r="B9" i="4"/>
  <c r="B27" i="4"/>
  <c r="C52" i="1"/>
  <c r="D26" i="1"/>
  <c r="D11" i="1"/>
  <c r="U131" i="11" l="1"/>
  <c r="N133" i="11"/>
  <c r="N145" i="11" s="1"/>
  <c r="G74" i="4"/>
  <c r="G57" i="4"/>
  <c r="I51" i="4"/>
  <c r="I57" i="4" s="1"/>
  <c r="K57" i="4" s="1"/>
  <c r="G46" i="4"/>
  <c r="I46" i="4"/>
  <c r="K46" i="4" s="1"/>
  <c r="D27" i="1"/>
  <c r="U133" i="11" l="1"/>
  <c r="J15" i="2"/>
  <c r="H15" i="2"/>
  <c r="C32" i="1" s="1"/>
  <c r="I14" i="2"/>
  <c r="K14" i="2" s="1"/>
  <c r="I12" i="2"/>
  <c r="K12" i="2" s="1"/>
  <c r="I13" i="2"/>
  <c r="K13" i="2" s="1"/>
  <c r="I8" i="2"/>
  <c r="K8" i="2" s="1"/>
  <c r="I10" i="2"/>
  <c r="K10" i="2" s="1"/>
  <c r="I7" i="2"/>
  <c r="K7" i="2" s="1"/>
  <c r="I6" i="2"/>
  <c r="K6" i="2" s="1"/>
  <c r="I5" i="2"/>
  <c r="C34" i="1"/>
  <c r="C26" i="1"/>
  <c r="C11" i="1"/>
  <c r="N146" i="11" l="1"/>
  <c r="U146" i="11" s="1"/>
  <c r="U145" i="11"/>
  <c r="I15" i="2"/>
  <c r="C27" i="1"/>
  <c r="K5" i="2"/>
  <c r="K15" i="2" s="1"/>
  <c r="C64" i="1"/>
  <c r="C69" i="1" s="1"/>
  <c r="C33" i="1" l="1"/>
  <c r="C35" i="1" s="1"/>
  <c r="C37" i="1" s="1"/>
  <c r="C53" i="1"/>
  <c r="C54" i="1" s="1"/>
  <c r="I3" i="4"/>
  <c r="I13" i="4"/>
  <c r="I8" i="4"/>
  <c r="I26" i="4"/>
  <c r="I17" i="4"/>
  <c r="G20" i="4"/>
  <c r="I16" i="4"/>
  <c r="G36" i="4"/>
  <c r="I31" i="4"/>
  <c r="I12" i="4"/>
  <c r="I33" i="4"/>
  <c r="I19" i="4"/>
  <c r="I25" i="4"/>
  <c r="I30" i="4"/>
  <c r="I7" i="4"/>
  <c r="G27" i="4"/>
  <c r="I5" i="4"/>
  <c r="G9" i="4"/>
  <c r="I24" i="4"/>
  <c r="I4" i="4"/>
  <c r="I6" i="4"/>
  <c r="I23" i="4"/>
  <c r="I15" i="4"/>
  <c r="I34" i="4"/>
  <c r="I14" i="4"/>
  <c r="I35" i="4"/>
  <c r="I32" i="4"/>
  <c r="I18" i="4"/>
  <c r="I20" i="4" l="1"/>
  <c r="K20" i="4" s="1"/>
  <c r="I27" i="4"/>
  <c r="K27" i="4" s="1"/>
  <c r="I9" i="4"/>
  <c r="K9" i="4" s="1"/>
  <c r="I36" i="4"/>
  <c r="K36" i="4" s="1"/>
  <c r="C73" i="1"/>
  <c r="C75" i="1" s="1"/>
  <c r="B34" i="7"/>
  <c r="L34" i="7" s="1"/>
  <c r="B36" i="7" l="1"/>
  <c r="L36" i="7" s="1"/>
  <c r="AI56" i="11" l="1"/>
  <c r="AI82" i="11"/>
  <c r="AI31" i="11"/>
  <c r="AI142" i="11"/>
  <c r="AI69" i="11"/>
  <c r="AI121" i="11"/>
  <c r="AI151" i="11"/>
  <c r="AI155" i="11"/>
  <c r="AI54" i="11"/>
  <c r="AI153" i="11"/>
  <c r="AI63" i="11"/>
  <c r="AI71" i="11"/>
  <c r="AI55" i="11"/>
  <c r="AI57" i="11"/>
  <c r="AI44" i="11"/>
  <c r="AI81" i="11"/>
  <c r="AI73" i="11"/>
  <c r="AI102" i="11"/>
  <c r="AI118" i="11"/>
  <c r="AI48" i="11"/>
  <c r="AI70" i="11"/>
  <c r="AI80" i="11"/>
  <c r="AI60" i="11"/>
  <c r="AI38" i="11"/>
  <c r="AI161" i="11"/>
  <c r="AI100" i="11"/>
  <c r="AI110" i="11"/>
  <c r="AI72" i="11"/>
  <c r="AI119" i="11"/>
  <c r="AI62" i="11"/>
  <c r="AI111" i="11"/>
  <c r="AI150" i="11"/>
  <c r="AI128" i="11"/>
  <c r="AI115" i="11"/>
  <c r="AI59" i="11"/>
  <c r="AI39" i="11"/>
  <c r="AI37" i="11"/>
  <c r="AI120" i="11"/>
  <c r="AI152" i="11"/>
  <c r="AI127" i="11"/>
  <c r="AI141" i="11"/>
  <c r="AI85" i="11"/>
  <c r="AI79" i="11"/>
  <c r="AI104" i="11"/>
  <c r="AI99" i="11"/>
  <c r="AI125" i="11"/>
  <c r="AI89" i="11"/>
  <c r="AI103" i="11"/>
  <c r="AI87" i="11"/>
  <c r="AI154" i="11"/>
  <c r="AI90" i="11"/>
  <c r="AI46" i="11"/>
  <c r="AI94" i="11"/>
  <c r="AI47" i="11"/>
  <c r="AI78" i="11"/>
  <c r="AI77" i="11"/>
  <c r="AI145" i="11"/>
  <c r="AI45" i="11"/>
  <c r="AI116" i="11"/>
  <c r="AI58" i="11"/>
  <c r="AI52" i="11"/>
  <c r="AI61" i="11"/>
  <c r="AI53" i="11"/>
  <c r="AI86" i="11"/>
  <c r="AI136" i="11"/>
  <c r="AI140" i="11"/>
  <c r="AI126" i="11"/>
  <c r="AI108" i="11"/>
  <c r="AI74" i="11"/>
  <c r="AI107" i="11"/>
  <c r="AI65" i="11"/>
  <c r="AI156" i="11"/>
  <c r="AI117" i="11"/>
  <c r="AI101" i="11"/>
  <c r="AI40" i="11"/>
  <c r="AI95" i="11"/>
  <c r="AI64" i="11"/>
  <c r="AI88" i="11"/>
  <c r="AI91" i="11"/>
  <c r="AI109" i="11"/>
  <c r="AI137" i="11"/>
  <c r="AI114" i="11"/>
  <c r="AI43" i="11"/>
  <c r="AI122" i="11"/>
  <c r="AI96" i="11"/>
  <c r="T64" i="11" l="1"/>
  <c r="T31" i="11"/>
  <c r="T90" i="11"/>
  <c r="T104" i="11"/>
  <c r="T62" i="11"/>
  <c r="T108" i="11"/>
  <c r="T55" i="11"/>
  <c r="T109" i="11"/>
  <c r="T48" i="11"/>
  <c r="T94" i="11"/>
  <c r="T137" i="11"/>
  <c r="T102" i="11"/>
  <c r="T73" i="11"/>
  <c r="T77" i="11"/>
  <c r="T61" i="11"/>
  <c r="T101" i="11"/>
  <c r="T142" i="11"/>
  <c r="T87" i="11"/>
  <c r="T57" i="11"/>
  <c r="T7" i="11"/>
  <c r="T95" i="11"/>
  <c r="T103" i="11"/>
  <c r="T89" i="11"/>
  <c r="T100" i="11"/>
  <c r="T38" i="11"/>
  <c r="T79" i="11"/>
  <c r="T116" i="11"/>
  <c r="T65" i="11"/>
  <c r="T141" i="11"/>
  <c r="T107" i="11"/>
  <c r="T118" i="11"/>
  <c r="T45" i="11"/>
  <c r="T110" i="11"/>
  <c r="T37" i="11"/>
  <c r="T59" i="11"/>
  <c r="T119" i="11"/>
  <c r="T126" i="11"/>
  <c r="T96" i="11"/>
  <c r="T128" i="11"/>
  <c r="T80" i="11"/>
  <c r="T44" i="11"/>
  <c r="T60" i="11"/>
  <c r="T145" i="11"/>
  <c r="T54" i="11"/>
  <c r="T47" i="11"/>
  <c r="T86" i="11"/>
  <c r="T40" i="11"/>
  <c r="T78" i="11"/>
  <c r="T70" i="11"/>
  <c r="T136" i="11"/>
  <c r="T127" i="11"/>
  <c r="T121" i="11"/>
  <c r="T43" i="11"/>
  <c r="T122" i="11"/>
  <c r="T39" i="11"/>
  <c r="T58" i="11"/>
  <c r="T74" i="11"/>
  <c r="T115" i="11"/>
  <c r="T99" i="11"/>
  <c r="T91" i="11"/>
  <c r="T81" i="11"/>
  <c r="T82" i="11"/>
  <c r="T120" i="11"/>
  <c r="T88" i="11"/>
  <c r="T71" i="11"/>
  <c r="T53" i="11"/>
  <c r="T140" i="11"/>
  <c r="T117" i="11"/>
  <c r="T46" i="11"/>
  <c r="T52" i="11"/>
  <c r="T114" i="11"/>
  <c r="T85" i="11"/>
  <c r="T125" i="11"/>
  <c r="T69" i="11"/>
  <c r="T56" i="11"/>
  <c r="T63" i="11"/>
  <c r="T111" i="11"/>
  <c r="T72" i="11"/>
  <c r="AB143" i="11" l="1"/>
  <c r="AC143" i="11"/>
  <c r="AE143" i="11"/>
  <c r="AD143" i="11"/>
  <c r="AH143" i="11"/>
  <c r="AG143" i="11"/>
  <c r="AI143" i="11"/>
  <c r="AF143" i="11"/>
  <c r="U143" i="11"/>
  <c r="S143" i="11"/>
  <c r="T143" i="11"/>
  <c r="C159" i="11"/>
  <c r="I159" i="11"/>
  <c r="E159" i="11"/>
  <c r="Q159" i="11"/>
  <c r="F159" i="11"/>
  <c r="J159" i="11"/>
  <c r="O159" i="11"/>
  <c r="H159" i="11"/>
  <c r="L159" i="11"/>
  <c r="M159" i="11"/>
  <c r="K159" i="11"/>
  <c r="G159" i="11"/>
  <c r="N159" i="11"/>
  <c r="D159" i="11"/>
  <c r="P159" i="11"/>
</calcChain>
</file>

<file path=xl/sharedStrings.xml><?xml version="1.0" encoding="utf-8"?>
<sst xmlns="http://schemas.openxmlformats.org/spreadsheetml/2006/main" count="1222" uniqueCount="511">
  <si>
    <t>Earned Revenue</t>
  </si>
  <si>
    <t>Box Office</t>
  </si>
  <si>
    <t>Concessions &amp; Merch.</t>
  </si>
  <si>
    <t>Playbill Ads</t>
  </si>
  <si>
    <t>Rentals</t>
  </si>
  <si>
    <t>Tuitions</t>
  </si>
  <si>
    <t>TOTAL</t>
  </si>
  <si>
    <t>Unearned Revenue</t>
  </si>
  <si>
    <t>Board Ask (20)</t>
  </si>
  <si>
    <t>Donations</t>
  </si>
  <si>
    <t>NTI Donations</t>
  </si>
  <si>
    <t>Gala</t>
  </si>
  <si>
    <t>Fall Appeal</t>
  </si>
  <si>
    <t>Producer Underwriting (45%)</t>
  </si>
  <si>
    <t>Heron Society (30)</t>
  </si>
  <si>
    <t>Grants</t>
  </si>
  <si>
    <t>Corporate Sponsorships</t>
  </si>
  <si>
    <t>Co-Production funding</t>
  </si>
  <si>
    <t>TOTAL REVENUE</t>
  </si>
  <si>
    <t>Budget</t>
  </si>
  <si>
    <t>Subtotal</t>
  </si>
  <si>
    <t>Expense</t>
  </si>
  <si>
    <t>General &amp; Administrative</t>
  </si>
  <si>
    <t>Admin Payroll</t>
  </si>
  <si>
    <t>Seasonal Staff Production Payroll</t>
  </si>
  <si>
    <t>Utilities</t>
  </si>
  <si>
    <t>Maintenance &amp; Repairs</t>
  </si>
  <si>
    <t>Office</t>
  </si>
  <si>
    <t>Box Office &amp; Concession</t>
  </si>
  <si>
    <t>Credit Card &amp; Bank fees</t>
  </si>
  <si>
    <t>Advertising</t>
  </si>
  <si>
    <t>Insurance</t>
  </si>
  <si>
    <t>Professional Fees</t>
  </si>
  <si>
    <t>Permits &amp; Fees</t>
  </si>
  <si>
    <t>Travel</t>
  </si>
  <si>
    <t>Professional Development</t>
  </si>
  <si>
    <t>Sales Commissions</t>
  </si>
  <si>
    <t>SUBTOTAL</t>
  </si>
  <si>
    <t>Contingency 10%</t>
  </si>
  <si>
    <t>LWT</t>
  </si>
  <si>
    <t>ESSC</t>
  </si>
  <si>
    <t>Private Lives</t>
  </si>
  <si>
    <t>Daddy Long Legs</t>
  </si>
  <si>
    <t>About Alice</t>
  </si>
  <si>
    <t>NSF</t>
  </si>
  <si>
    <t>XMAS show (5)</t>
  </si>
  <si>
    <t>Other Production Costs</t>
  </si>
  <si>
    <t>Special Projects</t>
  </si>
  <si>
    <t>TOTAL EXPENSES</t>
  </si>
  <si>
    <t>NET</t>
  </si>
  <si>
    <t>Position</t>
  </si>
  <si>
    <t>Salary</t>
  </si>
  <si>
    <t>Taxes</t>
  </si>
  <si>
    <t>Total</t>
  </si>
  <si>
    <t>Artistic Director</t>
  </si>
  <si>
    <t>Executive Director</t>
  </si>
  <si>
    <t>Marketing Director</t>
  </si>
  <si>
    <t>Development Director</t>
  </si>
  <si>
    <t>Development Assoc.</t>
  </si>
  <si>
    <t>House Manager</t>
  </si>
  <si>
    <t>Box/Concession</t>
  </si>
  <si>
    <t>Bldg. Superintendent</t>
  </si>
  <si>
    <t>Salaries</t>
  </si>
  <si>
    <t>Payroll Taxes</t>
  </si>
  <si>
    <t>Health Ins</t>
  </si>
  <si>
    <t>REVENUE</t>
  </si>
  <si>
    <t>Budget 2018</t>
  </si>
  <si>
    <t>Concessions net</t>
  </si>
  <si>
    <t>Merchandise net</t>
  </si>
  <si>
    <t>Playbill ad sales net</t>
  </si>
  <si>
    <t>NTI program ads</t>
  </si>
  <si>
    <t>NTI tuition</t>
  </si>
  <si>
    <t>Rental</t>
  </si>
  <si>
    <t>Fall appeal</t>
  </si>
  <si>
    <t>WHTC Donations</t>
  </si>
  <si>
    <t>Board Contributions</t>
  </si>
  <si>
    <t>Bricks &amp; Seats</t>
  </si>
  <si>
    <t>Producer underwriting</t>
  </si>
  <si>
    <t>Heron Society</t>
  </si>
  <si>
    <t>Capital Campaign</t>
  </si>
  <si>
    <t>Production Expenses</t>
  </si>
  <si>
    <t>SUBTOTAL  Productions</t>
  </si>
  <si>
    <t>NTI EXPENSES</t>
  </si>
  <si>
    <t>Lighting design</t>
  </si>
  <si>
    <t>Projection Design</t>
  </si>
  <si>
    <t>Scripts</t>
  </si>
  <si>
    <t>Set design</t>
  </si>
  <si>
    <t>Set</t>
  </si>
  <si>
    <t>Props</t>
  </si>
  <si>
    <t>Wardrobe</t>
  </si>
  <si>
    <t>Lighting rental</t>
  </si>
  <si>
    <t>LX Materials</t>
  </si>
  <si>
    <t>ME</t>
  </si>
  <si>
    <t>Sound Design</t>
  </si>
  <si>
    <t>PA/ASM</t>
  </si>
  <si>
    <t>Housing</t>
  </si>
  <si>
    <t>Contigency 10%</t>
  </si>
  <si>
    <t>Actor 1</t>
  </si>
  <si>
    <t>Actor 2</t>
  </si>
  <si>
    <t>Actor 3</t>
  </si>
  <si>
    <t>Actor 4</t>
  </si>
  <si>
    <t>Playwright</t>
  </si>
  <si>
    <t>Director</t>
  </si>
  <si>
    <t>Subtotals</t>
  </si>
  <si>
    <t>DLL</t>
  </si>
  <si>
    <t>Health</t>
  </si>
  <si>
    <t>Pension</t>
  </si>
  <si>
    <t>Tech bump</t>
  </si>
  <si>
    <t>Total weekly</t>
  </si>
  <si>
    <t>Actor</t>
  </si>
  <si>
    <t>PSM</t>
  </si>
  <si>
    <t>Musical Director</t>
  </si>
  <si>
    <t>Musician</t>
  </si>
  <si>
    <t>Actor B</t>
  </si>
  <si>
    <t>Next Step Fest</t>
  </si>
  <si>
    <t>Dramaturg</t>
  </si>
  <si>
    <t>Total Run</t>
  </si>
  <si>
    <t># Weeks</t>
  </si>
  <si>
    <t>Total Weekly</t>
  </si>
  <si>
    <t>2018 Production Budget</t>
  </si>
  <si>
    <t>H &amp; P</t>
  </si>
  <si>
    <t>`</t>
  </si>
  <si>
    <t>Budget 2017</t>
  </si>
  <si>
    <t>G&amp;A Expenses</t>
  </si>
  <si>
    <t>TOTAL PRODUCTION EXPENSES</t>
  </si>
  <si>
    <t>Work Comp</t>
  </si>
  <si>
    <t>2017</t>
  </si>
  <si>
    <t># of Actors</t>
  </si>
  <si>
    <t># of Directors</t>
  </si>
  <si>
    <t># of Playwrights</t>
  </si>
  <si>
    <t>Avg Ticket Price</t>
  </si>
  <si>
    <t>Avg  Seat Utilization</t>
  </si>
  <si>
    <t>Readings</t>
  </si>
  <si>
    <t>Production Payroll:</t>
  </si>
  <si>
    <t>Actor - Salary</t>
  </si>
  <si>
    <t>Actor - Health</t>
  </si>
  <si>
    <t>Actor - Pension</t>
  </si>
  <si>
    <t>Actor - Taxes</t>
  </si>
  <si>
    <t>Director - Salary</t>
  </si>
  <si>
    <t>PSM - Salary</t>
  </si>
  <si>
    <t>PSM - Health</t>
  </si>
  <si>
    <t>PSM - Pension</t>
  </si>
  <si>
    <t>PSM - Taxes</t>
  </si>
  <si>
    <t>Rate</t>
  </si>
  <si>
    <t>Production Payroll</t>
  </si>
  <si>
    <t>Rates (Weekly):</t>
  </si>
  <si>
    <t># of Performance - Days</t>
  </si>
  <si>
    <t>Seat Utilization:</t>
  </si>
  <si>
    <t>Total Production Payroll</t>
  </si>
  <si>
    <t>Other Production Expenses</t>
  </si>
  <si>
    <t>Total Other Production Expenses</t>
  </si>
  <si>
    <t>Total Production Expenses</t>
  </si>
  <si>
    <t>Production Budget 2019</t>
  </si>
  <si>
    <t>Avg/</t>
  </si>
  <si>
    <t>READ 1</t>
  </si>
  <si>
    <t>READ 2</t>
  </si>
  <si>
    <t>#</t>
  </si>
  <si>
    <t>Jul</t>
  </si>
  <si>
    <t>Aug</t>
  </si>
  <si>
    <t>Feb</t>
  </si>
  <si>
    <t>Class</t>
  </si>
  <si>
    <t>Name</t>
  </si>
  <si>
    <t>HOB</t>
  </si>
  <si>
    <t>Key</t>
  </si>
  <si>
    <t>Hound of the Baskervilles</t>
  </si>
  <si>
    <t>Long Wharf Collaboration</t>
  </si>
  <si>
    <t>Abbr.</t>
  </si>
  <si>
    <t># Actors</t>
  </si>
  <si>
    <t>Fireflies</t>
  </si>
  <si>
    <t>FF</t>
  </si>
  <si>
    <t>Christmas Show</t>
  </si>
  <si>
    <t># of Perf</t>
  </si>
  <si>
    <t>6/26-7/20</t>
  </si>
  <si>
    <t>DH2</t>
  </si>
  <si>
    <t>Reading Workshop</t>
  </si>
  <si>
    <t>XMAS</t>
  </si>
  <si>
    <t>WKSP</t>
  </si>
  <si>
    <t>Production payroll</t>
  </si>
  <si>
    <t>Licensing</t>
  </si>
  <si>
    <t>Costume design</t>
  </si>
  <si>
    <t>Scenic Paint</t>
  </si>
  <si>
    <t>PA</t>
  </si>
  <si>
    <t>Weeks</t>
  </si>
  <si>
    <t>Show - DLL</t>
  </si>
  <si>
    <t>Show - Priv Lives</t>
  </si>
  <si>
    <t>2018 Budget</t>
  </si>
  <si>
    <t>Show - AA</t>
  </si>
  <si>
    <t>Props &amp; Wardrobe</t>
  </si>
  <si>
    <t>Projection content</t>
  </si>
  <si>
    <t>Show - ESCC</t>
  </si>
  <si>
    <t>Show - XMAS</t>
  </si>
  <si>
    <t>68000 · Theatrical &amp; Production Expense</t>
  </si>
  <si>
    <t>68100 · Production Housing</t>
  </si>
  <si>
    <t>68200 · Production Travel</t>
  </si>
  <si>
    <t>68300 · Scenic Materials</t>
  </si>
  <si>
    <t>68400 · Licensing &amp; Scripts</t>
  </si>
  <si>
    <t>68500 · Lighting</t>
  </si>
  <si>
    <t>68600 · Sound</t>
  </si>
  <si>
    <t>68700 · Props</t>
  </si>
  <si>
    <t>68800 · Costumes</t>
  </si>
  <si>
    <t>68900 · Production/Cast Party Costs</t>
  </si>
  <si>
    <t>68950 · Tools &amp; Equipment</t>
  </si>
  <si>
    <t>68970 · Studio Rental Expense</t>
  </si>
  <si>
    <t>68999 · Theatre &amp; Production- Other</t>
  </si>
  <si>
    <t>Total 68000 · Theatrical &amp; Production Expense</t>
  </si>
  <si>
    <t>Total 60000 · THEATRICAL &amp; PRODUCTION EXPENSE</t>
  </si>
  <si>
    <t>G/L #</t>
  </si>
  <si>
    <t>FY</t>
  </si>
  <si>
    <t>Productions</t>
  </si>
  <si>
    <t>Prod 1</t>
  </si>
  <si>
    <t>Prod 2</t>
  </si>
  <si>
    <t>Prod 3</t>
  </si>
  <si>
    <t>Prod 4</t>
  </si>
  <si>
    <t>Prod 5</t>
  </si>
  <si>
    <t>8/22-9/14</t>
  </si>
  <si>
    <t>7/25-8/17</t>
  </si>
  <si>
    <t>OTHER</t>
  </si>
  <si>
    <t>9/25-10/5</t>
  </si>
  <si>
    <t>11/28-12/14</t>
  </si>
  <si>
    <t>6/20-6/21</t>
  </si>
  <si>
    <t>10/26</t>
  </si>
  <si>
    <t>PROD 1</t>
  </si>
  <si>
    <t>PROD 2</t>
  </si>
  <si>
    <t>PROD 3</t>
  </si>
  <si>
    <t>PROD 4</t>
  </si>
  <si>
    <t>PROD 5</t>
  </si>
  <si>
    <t>Read 1</t>
  </si>
  <si>
    <t>Read 2</t>
  </si>
  <si>
    <t>Com 1</t>
  </si>
  <si>
    <t>Com 2</t>
  </si>
  <si>
    <t>Edu 1</t>
  </si>
  <si>
    <t>Edu 2</t>
  </si>
  <si>
    <t># of Performance - Weeks - Actors</t>
  </si>
  <si>
    <t>Com 3</t>
  </si>
  <si>
    <t>Com 4</t>
  </si>
  <si>
    <t>Event 1</t>
  </si>
  <si>
    <t>Revenues by Production</t>
  </si>
  <si>
    <t>Production Calendar:</t>
  </si>
  <si>
    <t>DH2/GALA</t>
  </si>
  <si>
    <t>Show Name</t>
  </si>
  <si>
    <t>Jan</t>
  </si>
  <si>
    <t>Mar</t>
  </si>
  <si>
    <t>Apr</t>
  </si>
  <si>
    <t>May</t>
  </si>
  <si>
    <t>Jun</t>
  </si>
  <si>
    <t>Sep</t>
  </si>
  <si>
    <t>Oct</t>
  </si>
  <si>
    <t>Nov</t>
  </si>
  <si>
    <t>Dec</t>
  </si>
  <si>
    <t>Shanahan</t>
  </si>
  <si>
    <t>Charlton</t>
  </si>
  <si>
    <t>Ivey</t>
  </si>
  <si>
    <t>Shamos</t>
  </si>
  <si>
    <t>Hellman</t>
  </si>
  <si>
    <t>Mason</t>
  </si>
  <si>
    <t>Actor 5</t>
  </si>
  <si>
    <t>Actor 6</t>
  </si>
  <si>
    <t>Actor 7</t>
  </si>
  <si>
    <t>Actor 8</t>
  </si>
  <si>
    <t>End</t>
  </si>
  <si>
    <t>10/26/19</t>
  </si>
  <si>
    <t>Start</t>
  </si>
  <si>
    <t># Perf</t>
  </si>
  <si>
    <t># Wks</t>
  </si>
  <si>
    <t>A Doll's House Part 2 (Gala 7/26)</t>
  </si>
  <si>
    <t>Budget 2019</t>
  </si>
  <si>
    <t>Other</t>
  </si>
  <si>
    <t>2018</t>
  </si>
  <si>
    <t>Q1</t>
  </si>
  <si>
    <t>Q2</t>
  </si>
  <si>
    <t>Q3</t>
  </si>
  <si>
    <t>Q4</t>
  </si>
  <si>
    <t>Ordinary Income/Expense</t>
  </si>
  <si>
    <t>Income</t>
  </si>
  <si>
    <t>40000 · REVENUE</t>
  </si>
  <si>
    <t>42000 · Earned Revenue</t>
  </si>
  <si>
    <t>42100 · Box Office Income</t>
  </si>
  <si>
    <t>42110 · Tuitions</t>
  </si>
  <si>
    <t>42120 · Merchandise &amp; Concession Sales</t>
  </si>
  <si>
    <t>42140 · Theater Rental Income</t>
  </si>
  <si>
    <t>47200 · Playbill Advertising  Income</t>
  </si>
  <si>
    <t>Total 42000 · Earned Revenue</t>
  </si>
  <si>
    <t>44000 · Unearned Revenue</t>
  </si>
  <si>
    <t>44100 · Individ, Business Contributions</t>
  </si>
  <si>
    <t>44105 · Individual Contributions</t>
  </si>
  <si>
    <t>44120 · Board Ask</t>
  </si>
  <si>
    <t>44130 · Heron Society</t>
  </si>
  <si>
    <t>44140 · Special Events/Gala</t>
  </si>
  <si>
    <t>44150 · Fall Appeal</t>
  </si>
  <si>
    <t>44160 · Producer Underwriting</t>
  </si>
  <si>
    <t>44165 · Co-Producers</t>
  </si>
  <si>
    <t>44170 · Education Program Donations</t>
  </si>
  <si>
    <t>44180 · Capital Campaign</t>
  </si>
  <si>
    <t>44100 · Individ, Business Contributions - Other</t>
  </si>
  <si>
    <t>Total 44100 · Individ, Business Contributions</t>
  </si>
  <si>
    <t>44190 · Grants</t>
  </si>
  <si>
    <t>Total 44000 · Unearned Revenue</t>
  </si>
  <si>
    <t>Total 40000 · REVENUE</t>
  </si>
  <si>
    <t>46000 · Investments</t>
  </si>
  <si>
    <t>46110 · Investment Interest &amp; Dividends</t>
  </si>
  <si>
    <t>Total 46000 · Investments</t>
  </si>
  <si>
    <t>49900 · Uncategorized Income</t>
  </si>
  <si>
    <t>Total Income</t>
  </si>
  <si>
    <t>60000 · THEATRICAL &amp; PRODUCTION EXPENSE</t>
  </si>
  <si>
    <t>62000 · Personnel Expense</t>
  </si>
  <si>
    <t>64000 · Contracted Payroll Expense</t>
  </si>
  <si>
    <t>64100 · Salaries &amp; Wages</t>
  </si>
  <si>
    <t>64200 · Payroll Taxes</t>
  </si>
  <si>
    <t>64300 · Benefits</t>
  </si>
  <si>
    <t>Total 64000 · Contracted Payroll Expense</t>
  </si>
  <si>
    <t>66000 · Subcontracted Payroll Expense</t>
  </si>
  <si>
    <t>61600 · Subcontracted Personnel Expense</t>
  </si>
  <si>
    <t>66100 · Performers</t>
  </si>
  <si>
    <t>66200 · Designers</t>
  </si>
  <si>
    <t>66300 · Directors</t>
  </si>
  <si>
    <t>66600 · Other Tech</t>
  </si>
  <si>
    <t>66700 · Subcontractor Benefits</t>
  </si>
  <si>
    <t>Total 66000 · Subcontracted Payroll Expense</t>
  </si>
  <si>
    <t>62000 · Personnel Expense - Other</t>
  </si>
  <si>
    <t>Total 62000 · Personnel Expense</t>
  </si>
  <si>
    <t>66900 · Reconciliation Discrepancies</t>
  </si>
  <si>
    <t>69800 · Uncategorized Expenses</t>
  </si>
  <si>
    <t>70000 · GENERAL &amp; ADMIN EXPENSE</t>
  </si>
  <si>
    <t>72000 · Personnel Expense</t>
  </si>
  <si>
    <t>72100 · Salaries &amp; Wages</t>
  </si>
  <si>
    <t>72200 · Payroll Tax</t>
  </si>
  <si>
    <t>72300 · Benefits</t>
  </si>
  <si>
    <t>72400 · Workers Comp Insurance</t>
  </si>
  <si>
    <t>72500 · Payroll Processing Fees</t>
  </si>
  <si>
    <t>Total 72000 · Personnel Expense</t>
  </si>
  <si>
    <t>73000 · Travel &amp; Meetings</t>
  </si>
  <si>
    <t>73100 · Travel</t>
  </si>
  <si>
    <t>73200 · Meals &amp; Entertainment</t>
  </si>
  <si>
    <t>73400 · Accommodations</t>
  </si>
  <si>
    <t>73500 · Gala Expense</t>
  </si>
  <si>
    <t>Total 73000 · Travel &amp; Meetings</t>
  </si>
  <si>
    <t>74000 · Business Expenses</t>
  </si>
  <si>
    <t>74100 · Business Registration Fees</t>
  </si>
  <si>
    <t>74200 · Professional Development</t>
  </si>
  <si>
    <t>74300 · Computer Expense</t>
  </si>
  <si>
    <t>74500 · Subscriptions, Internet Service</t>
  </si>
  <si>
    <t>74600 · Charitable Contributions</t>
  </si>
  <si>
    <t>74700 · Business Expense- Other</t>
  </si>
  <si>
    <t>Total 74000 · Business Expenses</t>
  </si>
  <si>
    <t>75000 · Bank Charges</t>
  </si>
  <si>
    <t>75100 · Bank service charge</t>
  </si>
  <si>
    <t>75200 · Credit Card Processing Fees</t>
  </si>
  <si>
    <t>Total 75000 · Bank Charges</t>
  </si>
  <si>
    <t>76000 · Contract Services</t>
  </si>
  <si>
    <t>76100 · Accounting Fees</t>
  </si>
  <si>
    <t>76200 · Legal Fees</t>
  </si>
  <si>
    <t>76300 · Outside Contract Services</t>
  </si>
  <si>
    <t>76400 · Insurance - Liability, D and O</t>
  </si>
  <si>
    <t>76500 · Other Costs</t>
  </si>
  <si>
    <t>Total 76000 · Contract Services</t>
  </si>
  <si>
    <t>77000 · Facilities and Equipment</t>
  </si>
  <si>
    <t>77100 · Building Maintenance &amp; Supplies</t>
  </si>
  <si>
    <t>77200 · Utilities</t>
  </si>
  <si>
    <t>77300 · Vehicle Expense</t>
  </si>
  <si>
    <t>77000 · Facilities and Equipment - Other</t>
  </si>
  <si>
    <t>Total 77000 · Facilities and Equipment</t>
  </si>
  <si>
    <t>78000 · Printing &amp; Supplies</t>
  </si>
  <si>
    <t>78100 · General Printing</t>
  </si>
  <si>
    <t>78200 · Program Printing</t>
  </si>
  <si>
    <t>78300 · Office Supplies &amp; Box Office</t>
  </si>
  <si>
    <t>78400 · Postage &amp; Shipping</t>
  </si>
  <si>
    <t>78500 · Fees- Online Sales</t>
  </si>
  <si>
    <t>78600 · Concessions &amp; Merchandise Costs</t>
  </si>
  <si>
    <t>78650 · Sales &amp; Meals Tax Paid</t>
  </si>
  <si>
    <t>78700 · Box Office Expense- Other</t>
  </si>
  <si>
    <t>Total 78000 · Printing &amp; Supplies</t>
  </si>
  <si>
    <t>79000 · Advertising &amp; Promotion</t>
  </si>
  <si>
    <t>79100 · Advertising - Purchased</t>
  </si>
  <si>
    <t>79200 · Photography &amp; Video</t>
  </si>
  <si>
    <t>79300 · Advertising &amp; Promotion- Other</t>
  </si>
  <si>
    <t>Total 79000 · Advertising &amp; Promotion</t>
  </si>
  <si>
    <t>79500 · Other Expense</t>
  </si>
  <si>
    <t>79510 · Depreciation</t>
  </si>
  <si>
    <t>79520 · Interest Expense</t>
  </si>
  <si>
    <t>79540 · Ask Michael</t>
  </si>
  <si>
    <t>Total 79500 · Other Expense</t>
  </si>
  <si>
    <t>70000 · GENERAL &amp; ADMIN EXPENSE - Other</t>
  </si>
  <si>
    <t>Total 70000 · GENERAL &amp; ADMIN EXPENSE</t>
  </si>
  <si>
    <t>Total Expense</t>
  </si>
  <si>
    <t>Net Ordinary Income</t>
  </si>
  <si>
    <t>Other Income/Expense</t>
  </si>
  <si>
    <t>Other Income</t>
  </si>
  <si>
    <t>80001 · Unrealized Gain or Loss</t>
  </si>
  <si>
    <t>Total Other Income</t>
  </si>
  <si>
    <t>Net Other Income</t>
  </si>
  <si>
    <t>Net Income</t>
  </si>
  <si>
    <t># of Performance - Weeks - PSM = Stage Mgr</t>
  </si>
  <si>
    <t>PSM - Tech Bump (1/6 Salary 1 wk)</t>
  </si>
  <si>
    <t>G/L</t>
  </si>
  <si>
    <t>Director - Pension - 9% of Salary</t>
  </si>
  <si>
    <t>Director - Health - Tier on # of Perf</t>
  </si>
  <si>
    <t>64100 - Salary</t>
  </si>
  <si>
    <t>64200 - Taxes</t>
  </si>
  <si>
    <t>66300 - Directors</t>
  </si>
  <si>
    <t>Contracted</t>
  </si>
  <si>
    <t>Subcontracted</t>
  </si>
  <si>
    <t>42100 - Box Office</t>
  </si>
  <si>
    <t>44160 - Producer Underwriting</t>
  </si>
  <si>
    <t>44140 - Gala Receipts</t>
  </si>
  <si>
    <t>44165 - Co-Production funding</t>
  </si>
  <si>
    <t>42120 - Merchandise &amp; Concessions</t>
  </si>
  <si>
    <t># Att</t>
  </si>
  <si>
    <t>Avg # of Attending</t>
  </si>
  <si>
    <t>64300 - Benefits (Health + Pension)</t>
  </si>
  <si>
    <t>Office Manager</t>
  </si>
  <si>
    <t>Totals</t>
  </si>
  <si>
    <t>Production Manager</t>
  </si>
  <si>
    <t>Technical Director</t>
  </si>
  <si>
    <t>Company Manager</t>
  </si>
  <si>
    <t>$</t>
  </si>
  <si>
    <t>White Heron Theatre Company</t>
  </si>
  <si>
    <t>Actual</t>
  </si>
  <si>
    <t>Fcst</t>
  </si>
  <si>
    <t>Oct 18</t>
  </si>
  <si>
    <t>2019 Budget</t>
  </si>
  <si>
    <t>%</t>
  </si>
  <si>
    <t>Rev</t>
  </si>
  <si>
    <t>% Inc</t>
  </si>
  <si>
    <t>42999 · Earned Revenue- Other</t>
  </si>
  <si>
    <t>44110 · Business Donations</t>
  </si>
  <si>
    <t>Gross Profit</t>
  </si>
  <si>
    <t>73600 · Travel &amp; Meetings- Other</t>
  </si>
  <si>
    <t>EDU</t>
  </si>
  <si>
    <t>78100 - General Printing</t>
  </si>
  <si>
    <t>79100 - Advertising- Purchased</t>
  </si>
  <si>
    <t>79200 - Photography &amp; Video</t>
  </si>
  <si>
    <t>42110 - Tuition</t>
  </si>
  <si>
    <t>44170 - Education Program Donations</t>
  </si>
  <si>
    <t>66100 - Performers</t>
  </si>
  <si>
    <t>66200 - Designers</t>
  </si>
  <si>
    <t>73500 - Gala Expense</t>
  </si>
  <si>
    <t>Sum of Sales Total</t>
  </si>
  <si>
    <t>Fear of Heights</t>
  </si>
  <si>
    <t>Long Wharf Theatre New Play Workshop</t>
  </si>
  <si>
    <t>Nantucket Young Playwrights'</t>
  </si>
  <si>
    <t>2017 Benefit GALA</t>
  </si>
  <si>
    <t>NTI Student Production- The Tempest</t>
  </si>
  <si>
    <t>Outside Mullingar</t>
  </si>
  <si>
    <t>SeaWife</t>
  </si>
  <si>
    <t>A Midsummer Masquerade</t>
  </si>
  <si>
    <t>Jimmy Tingle: Humor for Humanity</t>
  </si>
  <si>
    <t>NTI Student Production- The Nantucket Mixtape!</t>
  </si>
  <si>
    <t>Romeo &amp; Juliet</t>
  </si>
  <si>
    <t>Constellations</t>
  </si>
  <si>
    <t>Fit</t>
  </si>
  <si>
    <t>It's a Wonderful Life: A Live Radio Play</t>
  </si>
  <si>
    <t>Poetry In Motion</t>
  </si>
  <si>
    <t>Poland Strings in Concert</t>
  </si>
  <si>
    <t>Nantucket Ballet - The Beatles</t>
  </si>
  <si>
    <t>Poetry In Motion - Art Week 2018</t>
  </si>
  <si>
    <t>The Last White Man</t>
  </si>
  <si>
    <t>A Midsummer Night's Dream</t>
  </si>
  <si>
    <t>Private Lives GALA Opening Night Benefit</t>
  </si>
  <si>
    <t>Comedy with Kevin Flynn</t>
  </si>
  <si>
    <t>Evanston Salt Costs Climbing</t>
  </si>
  <si>
    <t>The Nantucket Mixtape Vol. 2</t>
  </si>
  <si>
    <t>KEVIN FLYNN: FEAR OF HEIGHTS</t>
  </si>
  <si>
    <t>A Reading of Anna Karenina</t>
  </si>
  <si>
    <t>A Nantucket Christmas Carol</t>
  </si>
  <si>
    <t>Grand Total</t>
  </si>
  <si>
    <t>Avg % Seat Util. 120</t>
  </si>
  <si>
    <t>Box Office Receipts &amp; Seat Utilization</t>
  </si>
  <si>
    <t>SubTotal</t>
  </si>
  <si>
    <t>Avg Tkt Price</t>
  </si>
  <si>
    <t>FY 2017</t>
  </si>
  <si>
    <t>Oct YTD 2018</t>
  </si>
  <si>
    <t>Sep YTD 2018</t>
  </si>
  <si>
    <t>2018 vs</t>
  </si>
  <si>
    <t>2019 vs</t>
  </si>
  <si>
    <t>2018 Bgt</t>
  </si>
  <si>
    <t>2017 Act</t>
  </si>
  <si>
    <t>2018 Fcst</t>
  </si>
  <si>
    <r>
      <t>Var Analysis Better /</t>
    </r>
    <r>
      <rPr>
        <b/>
        <sz val="11"/>
        <color rgb="FFFF0000"/>
        <rFont val="Calibri (Body)_x0000_"/>
      </rPr>
      <t>(Worse)</t>
    </r>
  </si>
  <si>
    <t>Jan - Mar 17</t>
  </si>
  <si>
    <t>Apr - Jun 17</t>
  </si>
  <si>
    <t>Jul - Sep 17</t>
  </si>
  <si>
    <t>Oct - Dec 17</t>
  </si>
  <si>
    <t>Jan - Mar 18</t>
  </si>
  <si>
    <t>Apr - Jun 18</t>
  </si>
  <si>
    <t>Jul - Sep 18</t>
  </si>
  <si>
    <t>Accounting Issues to Research:</t>
  </si>
  <si>
    <t>Revenue</t>
  </si>
  <si>
    <t>TOTAL OPERATING EXPENSE</t>
  </si>
  <si>
    <t>TOTAL OPERATING PROFIT (EBIDA)</t>
  </si>
  <si>
    <t>NET PROFIT</t>
  </si>
  <si>
    <t>TOTAL ACCOUNTING ISSUES TO RESEARCH</t>
  </si>
  <si>
    <t>NET ORDINARY INCOME (ORIGINAL)</t>
  </si>
  <si>
    <t>CASH PROFIT (NET PROFIT BEFORE DEPRECIATION)</t>
  </si>
  <si>
    <t>(75%/25%)</t>
  </si>
  <si>
    <t>(80%/20%)</t>
  </si>
  <si>
    <t>Contracted Production</t>
  </si>
  <si>
    <t>G/L 72100</t>
  </si>
  <si>
    <t>G/L 72200</t>
  </si>
  <si>
    <t>G/L 72300</t>
  </si>
  <si>
    <t>G/L 64100</t>
  </si>
  <si>
    <t>G/L 64200</t>
  </si>
  <si>
    <t># of Costume Designers</t>
  </si>
  <si>
    <t># of Lighting Designers</t>
  </si>
  <si>
    <t># of Set Designers</t>
  </si>
  <si>
    <t># of Sound</t>
  </si>
  <si>
    <t># of Stage Manager (PSM)</t>
  </si>
  <si>
    <t># of Production Assistants</t>
  </si>
  <si>
    <t># of Scenic</t>
  </si>
  <si>
    <t># of Carpenters</t>
  </si>
  <si>
    <t>Total Revenue</t>
  </si>
  <si>
    <t>Total 70000 - GENERAL &amp; ADMIN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</si>
</sst>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0.0%"/>
    <numFmt numFmtId="168" formatCode="_(&quot;$&quot;* #,##0_);_(&quot;$&quot;* \(#,##0\);_(&quot;$&quot;* &quot;-&quot;??_);_(@_)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6FFA0"/>
        <bgColor indexed="64"/>
      </patternFill>
    </fill>
    <fill>
      <patternFill patternType="solid">
        <fgColor rgb="FFFFFAA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0">
    <xf numFmtId="0" fontId="0" fillId="0" borderId="0" xfId="0"/>
    <xf numFmtId="0" fontId="2" fillId="0" borderId="0" xfId="0" applyFont="1"/>
    <xf numFmtId="0" fontId="3" fillId="3" borderId="13" xfId="0" applyFont="1" applyFill="1" applyBorder="1"/>
    <xf numFmtId="0" fontId="3" fillId="0" borderId="0" xfId="0" applyFont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65" fontId="2" fillId="0" borderId="0" xfId="1" applyNumberFormat="1" applyFont="1" applyBorder="1"/>
    <xf numFmtId="165" fontId="2" fillId="0" borderId="2" xfId="1" applyNumberFormat="1" applyFont="1" applyBorder="1"/>
    <xf numFmtId="165" fontId="2" fillId="0" borderId="9" xfId="1" applyNumberFormat="1" applyFont="1" applyBorder="1"/>
    <xf numFmtId="0" fontId="4" fillId="0" borderId="8" xfId="0" applyFont="1" applyBorder="1"/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4" fillId="0" borderId="5" xfId="0" applyFont="1" applyBorder="1"/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2" fillId="0" borderId="0" xfId="1" applyNumberFormat="1" applyFont="1"/>
    <xf numFmtId="0" fontId="4" fillId="0" borderId="10" xfId="0" applyFont="1" applyBorder="1"/>
    <xf numFmtId="166" fontId="4" fillId="0" borderId="2" xfId="2" applyNumberFormat="1" applyFont="1" applyBorder="1" applyAlignment="1">
      <alignment horizontal="right"/>
    </xf>
    <xf numFmtId="166" fontId="4" fillId="0" borderId="2" xfId="2" applyNumberFormat="1" applyFont="1" applyBorder="1"/>
    <xf numFmtId="166" fontId="4" fillId="0" borderId="1" xfId="2" applyNumberFormat="1" applyFont="1" applyBorder="1" applyAlignment="1">
      <alignment horizontal="right"/>
    </xf>
    <xf numFmtId="166" fontId="4" fillId="0" borderId="2" xfId="2" applyNumberFormat="1" applyFont="1" applyFill="1" applyBorder="1" applyAlignment="1">
      <alignment horizontal="right"/>
    </xf>
    <xf numFmtId="0" fontId="2" fillId="3" borderId="4" xfId="0" applyFont="1" applyFill="1" applyBorder="1"/>
    <xf numFmtId="0" fontId="3" fillId="3" borderId="4" xfId="0" applyFont="1" applyFill="1" applyBorder="1"/>
    <xf numFmtId="0" fontId="2" fillId="0" borderId="2" xfId="0" applyFont="1" applyBorder="1"/>
    <xf numFmtId="0" fontId="2" fillId="0" borderId="0" xfId="0" applyFont="1" applyBorder="1"/>
    <xf numFmtId="0" fontId="2" fillId="0" borderId="2" xfId="0" applyFont="1" applyBorder="1" applyAlignment="1"/>
    <xf numFmtId="165" fontId="2" fillId="0" borderId="12" xfId="1" applyNumberFormat="1" applyFont="1" applyBorder="1"/>
    <xf numFmtId="165" fontId="3" fillId="3" borderId="15" xfId="1" applyNumberFormat="1" applyFont="1" applyFill="1" applyBorder="1"/>
    <xf numFmtId="165" fontId="3" fillId="3" borderId="4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5" xfId="0" applyFont="1" applyBorder="1"/>
    <xf numFmtId="0" fontId="2" fillId="0" borderId="11" xfId="0" applyFont="1" applyBorder="1"/>
    <xf numFmtId="165" fontId="7" fillId="0" borderId="0" xfId="1" applyNumberFormat="1" applyFont="1"/>
    <xf numFmtId="0" fontId="3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" borderId="12" xfId="0" applyFont="1" applyFill="1" applyBorder="1" applyAlignment="1">
      <alignment horizontal="center"/>
    </xf>
    <xf numFmtId="165" fontId="2" fillId="0" borderId="9" xfId="1" applyNumberFormat="1" applyFont="1" applyBorder="1" applyAlignment="1">
      <alignment horizontal="right"/>
    </xf>
    <xf numFmtId="165" fontId="3" fillId="3" borderId="9" xfId="1" applyNumberFormat="1" applyFont="1" applyFill="1" applyBorder="1" applyAlignment="1">
      <alignment horizontal="right"/>
    </xf>
    <xf numFmtId="165" fontId="2" fillId="0" borderId="7" xfId="1" applyNumberFormat="1" applyFont="1" applyBorder="1" applyAlignment="1">
      <alignment horizontal="right"/>
    </xf>
    <xf numFmtId="165" fontId="2" fillId="0" borderId="12" xfId="1" applyNumberFormat="1" applyFont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/>
    <xf numFmtId="0" fontId="2" fillId="0" borderId="0" xfId="0" applyFont="1" applyBorder="1" applyAlignment="1">
      <alignment horizontal="right"/>
    </xf>
    <xf numFmtId="0" fontId="6" fillId="0" borderId="0" xfId="0" applyFont="1"/>
    <xf numFmtId="166" fontId="4" fillId="0" borderId="8" xfId="1" applyNumberFormat="1" applyFont="1" applyBorder="1"/>
    <xf numFmtId="165" fontId="3" fillId="3" borderId="2" xfId="1" applyNumberFormat="1" applyFont="1" applyFill="1" applyBorder="1" applyAlignment="1">
      <alignment horizontal="right"/>
    </xf>
    <xf numFmtId="0" fontId="3" fillId="3" borderId="3" xfId="0" applyFont="1" applyFill="1" applyBorder="1"/>
    <xf numFmtId="0" fontId="2" fillId="0" borderId="9" xfId="0" applyFont="1" applyBorder="1"/>
    <xf numFmtId="0" fontId="3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3" xfId="0" applyFont="1" applyBorder="1"/>
    <xf numFmtId="0" fontId="2" fillId="0" borderId="13" xfId="0" applyFont="1" applyBorder="1"/>
    <xf numFmtId="0" fontId="3" fillId="0" borderId="4" xfId="0" applyFont="1" applyBorder="1" applyAlignment="1">
      <alignment horizontal="center"/>
    </xf>
    <xf numFmtId="166" fontId="4" fillId="0" borderId="8" xfId="0" applyNumberFormat="1" applyFont="1" applyBorder="1"/>
    <xf numFmtId="165" fontId="3" fillId="3" borderId="1" xfId="1" applyNumberFormat="1" applyFont="1" applyFill="1" applyBorder="1" applyAlignment="1">
      <alignment horizontal="right"/>
    </xf>
    <xf numFmtId="165" fontId="3" fillId="3" borderId="3" xfId="1" applyNumberFormat="1" applyFont="1" applyFill="1" applyBorder="1" applyAlignment="1">
      <alignment horizontal="right"/>
    </xf>
    <xf numFmtId="0" fontId="2" fillId="0" borderId="3" xfId="0" applyFont="1" applyBorder="1"/>
    <xf numFmtId="0" fontId="3" fillId="3" borderId="1" xfId="0" applyFont="1" applyFill="1" applyBorder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3" fillId="0" borderId="8" xfId="0" applyFont="1" applyBorder="1"/>
    <xf numFmtId="0" fontId="3" fillId="3" borderId="2" xfId="0" applyFont="1" applyFill="1" applyBorder="1"/>
    <xf numFmtId="0" fontId="8" fillId="3" borderId="9" xfId="0" applyFont="1" applyFill="1" applyBorder="1" applyAlignment="1">
      <alignment horizontal="center"/>
    </xf>
    <xf numFmtId="165" fontId="2" fillId="0" borderId="0" xfId="1" applyNumberFormat="1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12" xfId="0" applyFont="1" applyBorder="1" applyAlignment="1">
      <alignment horizontal="center"/>
    </xf>
    <xf numFmtId="0" fontId="4" fillId="0" borderId="2" xfId="0" applyFont="1" applyFill="1" applyBorder="1"/>
    <xf numFmtId="0" fontId="4" fillId="0" borderId="9" xfId="0" applyFont="1" applyFill="1" applyBorder="1"/>
    <xf numFmtId="0" fontId="4" fillId="0" borderId="9" xfId="0" applyFont="1" applyBorder="1"/>
    <xf numFmtId="0" fontId="5" fillId="3" borderId="12" xfId="0" applyFont="1" applyFill="1" applyBorder="1"/>
    <xf numFmtId="0" fontId="2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2" xfId="0" applyFont="1" applyBorder="1"/>
    <xf numFmtId="0" fontId="4" fillId="0" borderId="1" xfId="0" applyFont="1" applyBorder="1"/>
    <xf numFmtId="165" fontId="2" fillId="0" borderId="1" xfId="1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" fontId="2" fillId="3" borderId="15" xfId="0" quotePrefix="1" applyNumberFormat="1" applyFont="1" applyFill="1" applyBorder="1" applyAlignment="1">
      <alignment horizontal="center"/>
    </xf>
    <xf numFmtId="0" fontId="3" fillId="3" borderId="15" xfId="0" applyFont="1" applyFill="1" applyBorder="1"/>
    <xf numFmtId="0" fontId="3" fillId="3" borderId="12" xfId="0" applyFont="1" applyFill="1" applyBorder="1"/>
    <xf numFmtId="0" fontId="3" fillId="3" borderId="7" xfId="0" applyFont="1" applyFill="1" applyBorder="1"/>
    <xf numFmtId="0" fontId="3" fillId="3" borderId="12" xfId="0" applyFont="1" applyFill="1" applyBorder="1" applyAlignment="1">
      <alignment horizontal="right"/>
    </xf>
    <xf numFmtId="0" fontId="2" fillId="0" borderId="1" xfId="0" applyFont="1" applyBorder="1"/>
    <xf numFmtId="164" fontId="3" fillId="3" borderId="4" xfId="0" applyNumberFormat="1" applyFont="1" applyFill="1" applyBorder="1"/>
    <xf numFmtId="164" fontId="2" fillId="0" borderId="0" xfId="0" applyNumberFormat="1" applyFont="1" applyBorder="1"/>
    <xf numFmtId="0" fontId="2" fillId="0" borderId="12" xfId="0" applyFont="1" applyBorder="1"/>
    <xf numFmtId="166" fontId="2" fillId="0" borderId="0" xfId="0" applyNumberFormat="1" applyFont="1"/>
    <xf numFmtId="0" fontId="3" fillId="0" borderId="0" xfId="1" applyNumberFormat="1" applyFont="1" applyAlignment="1">
      <alignment horizontal="center"/>
    </xf>
    <xf numFmtId="165" fontId="3" fillId="0" borderId="0" xfId="1" applyNumberFormat="1" applyFont="1"/>
    <xf numFmtId="165" fontId="3" fillId="0" borderId="0" xfId="1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8" xfId="1" applyNumberFormat="1" applyFont="1" applyBorder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Border="1"/>
    <xf numFmtId="0" fontId="3" fillId="0" borderId="6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3" fillId="0" borderId="14" xfId="0" applyFont="1" applyBorder="1"/>
    <xf numFmtId="0" fontId="3" fillId="0" borderId="15" xfId="0" applyFont="1" applyBorder="1"/>
    <xf numFmtId="0" fontId="2" fillId="0" borderId="1" xfId="0" applyFont="1" applyFill="1" applyBorder="1"/>
    <xf numFmtId="164" fontId="2" fillId="0" borderId="2" xfId="0" applyNumberFormat="1" applyFont="1" applyBorder="1"/>
    <xf numFmtId="0" fontId="2" fillId="0" borderId="2" xfId="0" applyFont="1" applyFill="1" applyBorder="1"/>
    <xf numFmtId="165" fontId="2" fillId="0" borderId="7" xfId="1" applyNumberFormat="1" applyFont="1" applyBorder="1"/>
    <xf numFmtId="43" fontId="2" fillId="0" borderId="0" xfId="0" applyNumberFormat="1" applyFont="1"/>
    <xf numFmtId="14" fontId="2" fillId="0" borderId="6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6" fontId="2" fillId="0" borderId="0" xfId="0" quotePrefix="1" applyNumberFormat="1" applyFont="1" applyBorder="1" applyAlignment="1">
      <alignment horizontal="right"/>
    </xf>
    <xf numFmtId="0" fontId="8" fillId="3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5" fontId="2" fillId="0" borderId="0" xfId="0" applyNumberFormat="1" applyFont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3" fillId="0" borderId="7" xfId="1" applyNumberFormat="1" applyFont="1" applyFill="1" applyBorder="1"/>
    <xf numFmtId="165" fontId="2" fillId="0" borderId="9" xfId="1" applyNumberFormat="1" applyFont="1" applyFill="1" applyBorder="1"/>
    <xf numFmtId="165" fontId="2" fillId="0" borderId="12" xfId="1" applyNumberFormat="1" applyFont="1" applyFill="1" applyBorder="1"/>
    <xf numFmtId="165" fontId="3" fillId="0" borderId="9" xfId="1" applyNumberFormat="1" applyFont="1" applyFill="1" applyBorder="1"/>
    <xf numFmtId="165" fontId="2" fillId="0" borderId="7" xfId="1" applyNumberFormat="1" applyFont="1" applyFill="1" applyBorder="1"/>
    <xf numFmtId="0" fontId="3" fillId="0" borderId="9" xfId="0" applyFont="1" applyFill="1" applyBorder="1"/>
    <xf numFmtId="0" fontId="2" fillId="0" borderId="9" xfId="0" applyFont="1" applyFill="1" applyBorder="1"/>
    <xf numFmtId="0" fontId="3" fillId="0" borderId="7" xfId="0" applyFont="1" applyFill="1" applyBorder="1"/>
    <xf numFmtId="0" fontId="2" fillId="0" borderId="7" xfId="0" applyFont="1" applyFill="1" applyBorder="1"/>
    <xf numFmtId="0" fontId="2" fillId="3" borderId="15" xfId="0" applyFont="1" applyFill="1" applyBorder="1"/>
    <xf numFmtId="165" fontId="3" fillId="0" borderId="1" xfId="1" applyNumberFormat="1" applyFont="1" applyFill="1" applyBorder="1"/>
    <xf numFmtId="165" fontId="3" fillId="0" borderId="2" xfId="1" applyNumberFormat="1" applyFont="1" applyFill="1" applyBorder="1"/>
    <xf numFmtId="165" fontId="2" fillId="0" borderId="12" xfId="1" applyNumberFormat="1" applyFont="1" applyFill="1" applyBorder="1" applyAlignment="1">
      <alignment horizontal="right"/>
    </xf>
    <xf numFmtId="43" fontId="2" fillId="0" borderId="6" xfId="0" applyNumberFormat="1" applyFont="1" applyBorder="1"/>
    <xf numFmtId="43" fontId="2" fillId="0" borderId="6" xfId="0" applyNumberFormat="1" applyFont="1" applyBorder="1" applyAlignment="1">
      <alignment horizontal="right"/>
    </xf>
    <xf numFmtId="165" fontId="2" fillId="0" borderId="7" xfId="1" applyNumberFormat="1" applyFont="1" applyFill="1" applyBorder="1" applyAlignment="1">
      <alignment horizontal="right"/>
    </xf>
    <xf numFmtId="165" fontId="2" fillId="0" borderId="9" xfId="1" applyNumberFormat="1" applyFont="1" applyFill="1" applyBorder="1" applyAlignment="1">
      <alignment horizontal="right"/>
    </xf>
    <xf numFmtId="165" fontId="2" fillId="0" borderId="6" xfId="1" applyNumberFormat="1" applyFont="1" applyBorder="1"/>
    <xf numFmtId="165" fontId="3" fillId="3" borderId="7" xfId="1" applyNumberFormat="1" applyFont="1" applyFill="1" applyBorder="1" applyAlignment="1">
      <alignment horizontal="right"/>
    </xf>
    <xf numFmtId="0" fontId="2" fillId="0" borderId="7" xfId="0" applyFont="1" applyBorder="1"/>
    <xf numFmtId="164" fontId="2" fillId="0" borderId="9" xfId="0" applyNumberFormat="1" applyFont="1" applyBorder="1"/>
    <xf numFmtId="166" fontId="4" fillId="0" borderId="9" xfId="0" applyNumberFormat="1" applyFont="1" applyBorder="1"/>
    <xf numFmtId="0" fontId="2" fillId="0" borderId="9" xfId="0" applyFont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166" fontId="4" fillId="0" borderId="3" xfId="2" applyNumberFormat="1" applyFont="1" applyFill="1" applyBorder="1" applyAlignment="1">
      <alignment horizontal="right"/>
    </xf>
    <xf numFmtId="165" fontId="3" fillId="3" borderId="12" xfId="1" applyNumberFormat="1" applyFont="1" applyFill="1" applyBorder="1" applyAlignment="1">
      <alignment horizontal="right"/>
    </xf>
    <xf numFmtId="166" fontId="4" fillId="0" borderId="7" xfId="2" applyNumberFormat="1" applyFont="1" applyBorder="1" applyAlignment="1">
      <alignment horizontal="right"/>
    </xf>
    <xf numFmtId="166" fontId="4" fillId="0" borderId="9" xfId="2" applyNumberFormat="1" applyFont="1" applyBorder="1" applyAlignment="1">
      <alignment horizontal="right"/>
    </xf>
    <xf numFmtId="166" fontId="4" fillId="0" borderId="12" xfId="2" applyNumberFormat="1" applyFont="1" applyBorder="1" applyAlignment="1">
      <alignment horizontal="right"/>
    </xf>
    <xf numFmtId="0" fontId="4" fillId="0" borderId="7" xfId="0" applyFont="1" applyBorder="1"/>
    <xf numFmtId="0" fontId="3" fillId="7" borderId="5" xfId="0" applyFont="1" applyFill="1" applyBorder="1"/>
    <xf numFmtId="0" fontId="3" fillId="7" borderId="8" xfId="0" applyFont="1" applyFill="1" applyBorder="1"/>
    <xf numFmtId="0" fontId="3" fillId="7" borderId="9" xfId="0" applyFont="1" applyFill="1" applyBorder="1" applyAlignment="1">
      <alignment horizontal="center"/>
    </xf>
    <xf numFmtId="165" fontId="2" fillId="3" borderId="0" xfId="1" applyNumberFormat="1" applyFont="1" applyFill="1" applyBorder="1"/>
    <xf numFmtId="0" fontId="3" fillId="7" borderId="12" xfId="0" applyFont="1" applyFill="1" applyBorder="1" applyAlignment="1">
      <alignment horizontal="center"/>
    </xf>
    <xf numFmtId="0" fontId="3" fillId="0" borderId="9" xfId="0" applyFont="1" applyBorder="1"/>
    <xf numFmtId="0" fontId="3" fillId="0" borderId="2" xfId="0" applyFont="1" applyFill="1" applyBorder="1"/>
    <xf numFmtId="0" fontId="3" fillId="0" borderId="7" xfId="0" applyFont="1" applyBorder="1"/>
    <xf numFmtId="165" fontId="3" fillId="0" borderId="0" xfId="0" applyNumberFormat="1" applyFont="1"/>
    <xf numFmtId="0" fontId="3" fillId="0" borderId="0" xfId="0" applyFont="1" applyFill="1" applyBorder="1"/>
    <xf numFmtId="165" fontId="2" fillId="3" borderId="9" xfId="1" applyNumberFormat="1" applyFont="1" applyFill="1" applyBorder="1"/>
    <xf numFmtId="38" fontId="2" fillId="0" borderId="9" xfId="1" applyNumberFormat="1" applyFont="1" applyBorder="1"/>
    <xf numFmtId="9" fontId="2" fillId="0" borderId="0" xfId="3" applyFont="1"/>
    <xf numFmtId="165" fontId="3" fillId="0" borderId="9" xfId="1" applyNumberFormat="1" applyFont="1" applyBorder="1"/>
    <xf numFmtId="38" fontId="3" fillId="0" borderId="9" xfId="1" applyNumberFormat="1" applyFont="1" applyBorder="1"/>
    <xf numFmtId="9" fontId="3" fillId="0" borderId="0" xfId="3" applyFont="1"/>
    <xf numFmtId="0" fontId="3" fillId="0" borderId="10" xfId="0" applyFont="1" applyBorder="1"/>
    <xf numFmtId="165" fontId="3" fillId="0" borderId="3" xfId="1" applyNumberFormat="1" applyFont="1" applyBorder="1"/>
    <xf numFmtId="165" fontId="3" fillId="0" borderId="12" xfId="1" applyNumberFormat="1" applyFont="1" applyBorder="1"/>
    <xf numFmtId="165" fontId="3" fillId="0" borderId="12" xfId="1" applyNumberFormat="1" applyFont="1" applyFill="1" applyBorder="1"/>
    <xf numFmtId="38" fontId="3" fillId="0" borderId="12" xfId="1" applyNumberFormat="1" applyFont="1" applyBorder="1"/>
    <xf numFmtId="165" fontId="2" fillId="3" borderId="12" xfId="1" applyNumberFormat="1" applyFont="1" applyFill="1" applyBorder="1"/>
    <xf numFmtId="0" fontId="2" fillId="3" borderId="0" xfId="0" applyFont="1" applyFill="1" applyAlignment="1">
      <alignment horizontal="left"/>
    </xf>
    <xf numFmtId="3" fontId="2" fillId="3" borderId="0" xfId="0" applyNumberFormat="1" applyFont="1" applyFill="1"/>
    <xf numFmtId="167" fontId="2" fillId="3" borderId="0" xfId="0" applyNumberFormat="1" applyFont="1" applyFill="1"/>
    <xf numFmtId="0" fontId="2" fillId="0" borderId="0" xfId="0" applyFont="1" applyAlignment="1">
      <alignment horizontal="left" indent="1"/>
    </xf>
    <xf numFmtId="3" fontId="2" fillId="0" borderId="0" xfId="0" applyNumberFormat="1" applyFont="1"/>
    <xf numFmtId="167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164" fontId="6" fillId="0" borderId="0" xfId="0" applyNumberFormat="1" applyFont="1"/>
    <xf numFmtId="165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6" fillId="0" borderId="0" xfId="0" applyFont="1" applyAlignment="1">
      <alignment horizontal="left"/>
    </xf>
    <xf numFmtId="165" fontId="3" fillId="0" borderId="4" xfId="1" applyNumberFormat="1" applyFont="1" applyBorder="1"/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0" fontId="2" fillId="0" borderId="0" xfId="1" applyNumberFormat="1" applyFont="1" applyAlignment="1">
      <alignment horizontal="center"/>
    </xf>
    <xf numFmtId="164" fontId="7" fillId="0" borderId="0" xfId="0" applyNumberFormat="1" applyFont="1"/>
    <xf numFmtId="164" fontId="10" fillId="0" borderId="0" xfId="0" applyNumberFormat="1" applyFont="1"/>
    <xf numFmtId="0" fontId="11" fillId="0" borderId="0" xfId="0" applyFont="1"/>
    <xf numFmtId="165" fontId="11" fillId="0" borderId="0" xfId="1" applyNumberFormat="1" applyFont="1"/>
    <xf numFmtId="0" fontId="11" fillId="0" borderId="0" xfId="0" applyFont="1" applyAlignment="1">
      <alignment horizontal="left"/>
    </xf>
    <xf numFmtId="166" fontId="11" fillId="0" borderId="0" xfId="0" applyNumberFormat="1" applyFont="1"/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2" fillId="0" borderId="11" xfId="1" applyNumberFormat="1" applyFont="1" applyBorder="1"/>
    <xf numFmtId="165" fontId="2" fillId="0" borderId="10" xfId="1" applyNumberFormat="1" applyFont="1" applyBorder="1"/>
    <xf numFmtId="165" fontId="2" fillId="0" borderId="3" xfId="1" applyNumberFormat="1" applyFont="1" applyBorder="1"/>
    <xf numFmtId="165" fontId="3" fillId="0" borderId="14" xfId="1" applyNumberFormat="1" applyFont="1" applyBorder="1"/>
    <xf numFmtId="165" fontId="3" fillId="0" borderId="13" xfId="1" applyNumberFormat="1" applyFont="1" applyBorder="1"/>
    <xf numFmtId="165" fontId="3" fillId="0" borderId="15" xfId="1" applyNumberFormat="1" applyFont="1" applyBorder="1"/>
    <xf numFmtId="165" fontId="2" fillId="0" borderId="1" xfId="1" applyNumberFormat="1" applyFont="1" applyBorder="1"/>
    <xf numFmtId="165" fontId="2" fillId="3" borderId="3" xfId="1" applyNumberFormat="1" applyFont="1" applyFill="1" applyBorder="1"/>
    <xf numFmtId="8" fontId="2" fillId="0" borderId="0" xfId="0" applyNumberFormat="1" applyFont="1"/>
    <xf numFmtId="0" fontId="3" fillId="0" borderId="1" xfId="0" applyFont="1" applyBorder="1" applyAlignment="1">
      <alignment horizontal="center"/>
    </xf>
    <xf numFmtId="165" fontId="3" fillId="0" borderId="11" xfId="1" applyNumberFormat="1" applyFont="1" applyBorder="1"/>
    <xf numFmtId="165" fontId="3" fillId="0" borderId="0" xfId="1" applyNumberFormat="1" applyFont="1" applyBorder="1"/>
    <xf numFmtId="165" fontId="2" fillId="0" borderId="15" xfId="1" applyNumberFormat="1" applyFont="1" applyBorder="1"/>
    <xf numFmtId="165" fontId="2" fillId="0" borderId="4" xfId="1" applyNumberFormat="1" applyFont="1" applyBorder="1"/>
    <xf numFmtId="165" fontId="3" fillId="0" borderId="11" xfId="0" applyNumberFormat="1" applyFont="1" applyBorder="1"/>
    <xf numFmtId="165" fontId="3" fillId="0" borderId="3" xfId="0" applyNumberFormat="1" applyFont="1" applyBorder="1"/>
    <xf numFmtId="165" fontId="3" fillId="0" borderId="12" xfId="0" applyNumberFormat="1" applyFont="1" applyBorder="1"/>
    <xf numFmtId="165" fontId="6" fillId="0" borderId="0" xfId="1" applyNumberFormat="1" applyFont="1"/>
    <xf numFmtId="0" fontId="3" fillId="0" borderId="0" xfId="0" quotePrefix="1" applyNumberFormat="1" applyFont="1"/>
    <xf numFmtId="0" fontId="8" fillId="0" borderId="0" xfId="0" applyFont="1" applyFill="1"/>
    <xf numFmtId="0" fontId="12" fillId="0" borderId="0" xfId="0" applyFont="1"/>
    <xf numFmtId="43" fontId="2" fillId="0" borderId="0" xfId="1" applyFont="1"/>
    <xf numFmtId="44" fontId="2" fillId="0" borderId="0" xfId="2" applyFont="1"/>
    <xf numFmtId="0" fontId="13" fillId="0" borderId="0" xfId="0" applyFont="1"/>
    <xf numFmtId="164" fontId="12" fillId="0" borderId="0" xfId="0" applyNumberFormat="1" applyFont="1"/>
    <xf numFmtId="164" fontId="6" fillId="0" borderId="0" xfId="0" applyNumberFormat="1" applyFont="1" applyAlignment="1">
      <alignment horizontal="center"/>
    </xf>
    <xf numFmtId="44" fontId="2" fillId="0" borderId="9" xfId="2" applyFont="1" applyBorder="1"/>
    <xf numFmtId="168" fontId="4" fillId="0" borderId="9" xfId="2" applyNumberFormat="1" applyFont="1" applyBorder="1"/>
    <xf numFmtId="0" fontId="3" fillId="3" borderId="14" xfId="0" applyFont="1" applyFill="1" applyBorder="1" applyAlignment="1">
      <alignment horizontal="center"/>
    </xf>
    <xf numFmtId="0" fontId="4" fillId="0" borderId="8" xfId="0" applyFont="1" applyFill="1" applyBorder="1"/>
    <xf numFmtId="165" fontId="3" fillId="0" borderId="1" xfId="0" applyNumberFormat="1" applyFont="1" applyBorder="1"/>
    <xf numFmtId="165" fontId="3" fillId="0" borderId="2" xfId="0" applyNumberFormat="1" applyFont="1" applyBorder="1"/>
    <xf numFmtId="44" fontId="4" fillId="0" borderId="9" xfId="2" applyFont="1" applyBorder="1"/>
    <xf numFmtId="165" fontId="2" fillId="3" borderId="0" xfId="1" applyNumberFormat="1" applyFont="1" applyFill="1"/>
    <xf numFmtId="0" fontId="2" fillId="3" borderId="0" xfId="0" applyFont="1" applyFill="1"/>
    <xf numFmtId="166" fontId="2" fillId="0" borderId="7" xfId="1" applyNumberFormat="1" applyFont="1" applyBorder="1" applyAlignment="1">
      <alignment horizontal="right"/>
    </xf>
    <xf numFmtId="166" fontId="2" fillId="0" borderId="1" xfId="1" applyNumberFormat="1" applyFont="1" applyBorder="1" applyAlignment="1">
      <alignment horizontal="right"/>
    </xf>
    <xf numFmtId="166" fontId="3" fillId="3" borderId="1" xfId="1" applyNumberFormat="1" applyFont="1" applyFill="1" applyBorder="1" applyAlignment="1">
      <alignment horizontal="right"/>
    </xf>
    <xf numFmtId="167" fontId="3" fillId="3" borderId="2" xfId="3" applyNumberFormat="1" applyFont="1" applyFill="1" applyBorder="1" applyAlignment="1">
      <alignment horizontal="right"/>
    </xf>
    <xf numFmtId="9" fontId="2" fillId="0" borderId="9" xfId="3" applyFont="1" applyBorder="1"/>
    <xf numFmtId="9" fontId="2" fillId="0" borderId="2" xfId="3" applyFont="1" applyBorder="1"/>
    <xf numFmtId="9" fontId="2" fillId="0" borderId="9" xfId="3" applyFont="1" applyFill="1" applyBorder="1" applyAlignment="1">
      <alignment horizontal="right"/>
    </xf>
    <xf numFmtId="168" fontId="2" fillId="0" borderId="7" xfId="2" applyNumberFormat="1" applyFont="1" applyBorder="1" applyAlignment="1">
      <alignment horizontal="right"/>
    </xf>
    <xf numFmtId="0" fontId="2" fillId="3" borderId="0" xfId="0" applyNumberFormat="1" applyFont="1" applyFill="1"/>
    <xf numFmtId="0" fontId="2" fillId="0" borderId="0" xfId="0" applyNumberFormat="1" applyFont="1"/>
    <xf numFmtId="166" fontId="2" fillId="3" borderId="0" xfId="0" applyNumberFormat="1" applyFont="1" applyFill="1"/>
    <xf numFmtId="0" fontId="3" fillId="0" borderId="0" xfId="0" applyFont="1" applyFill="1"/>
    <xf numFmtId="9" fontId="2" fillId="0" borderId="0" xfId="3" applyFont="1" applyFill="1" applyBorder="1"/>
    <xf numFmtId="9" fontId="3" fillId="0" borderId="0" xfId="3" applyFont="1" applyFill="1" applyBorder="1"/>
    <xf numFmtId="164" fontId="2" fillId="0" borderId="0" xfId="0" applyNumberFormat="1" applyFont="1" applyFill="1"/>
    <xf numFmtId="0" fontId="13" fillId="0" borderId="0" xfId="0" applyFont="1" applyFill="1"/>
    <xf numFmtId="164" fontId="3" fillId="0" borderId="0" xfId="0" quotePrefix="1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/>
    <xf numFmtId="165" fontId="2" fillId="7" borderId="7" xfId="1" applyNumberFormat="1" applyFont="1" applyFill="1" applyBorder="1"/>
    <xf numFmtId="165" fontId="2" fillId="7" borderId="9" xfId="1" applyNumberFormat="1" applyFont="1" applyFill="1" applyBorder="1"/>
    <xf numFmtId="165" fontId="3" fillId="7" borderId="7" xfId="1" applyNumberFormat="1" applyFont="1" applyFill="1" applyBorder="1" applyAlignment="1">
      <alignment horizontal="center"/>
    </xf>
    <xf numFmtId="165" fontId="3" fillId="0" borderId="9" xfId="0" applyNumberFormat="1" applyFont="1" applyFill="1" applyBorder="1"/>
    <xf numFmtId="0" fontId="3" fillId="0" borderId="5" xfId="0" applyFont="1" applyBorder="1"/>
    <xf numFmtId="0" fontId="3" fillId="0" borderId="1" xfId="0" applyFont="1" applyFill="1" applyBorder="1"/>
    <xf numFmtId="0" fontId="3" fillId="0" borderId="6" xfId="0" applyFont="1" applyBorder="1"/>
    <xf numFmtId="0" fontId="3" fillId="0" borderId="11" xfId="0" applyFont="1" applyBorder="1"/>
    <xf numFmtId="38" fontId="3" fillId="0" borderId="7" xfId="1" applyNumberFormat="1" applyFont="1" applyBorder="1"/>
    <xf numFmtId="167" fontId="14" fillId="0" borderId="9" xfId="0" applyNumberFormat="1" applyFont="1" applyFill="1" applyBorder="1"/>
    <xf numFmtId="0" fontId="3" fillId="7" borderId="7" xfId="0" applyFont="1" applyFill="1" applyBorder="1" applyAlignment="1">
      <alignment horizontal="center"/>
    </xf>
    <xf numFmtId="165" fontId="3" fillId="0" borderId="7" xfId="1" applyNumberFormat="1" applyFont="1" applyBorder="1"/>
    <xf numFmtId="165" fontId="3" fillId="0" borderId="7" xfId="0" applyNumberFormat="1" applyFont="1" applyFill="1" applyBorder="1"/>
    <xf numFmtId="0" fontId="3" fillId="0" borderId="3" xfId="0" applyFont="1" applyFill="1" applyBorder="1"/>
    <xf numFmtId="165" fontId="3" fillId="0" borderId="12" xfId="0" applyNumberFormat="1" applyFont="1" applyFill="1" applyBorder="1"/>
    <xf numFmtId="0" fontId="2" fillId="0" borderId="3" xfId="0" applyFont="1" applyFill="1" applyBorder="1"/>
    <xf numFmtId="0" fontId="3" fillId="8" borderId="5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9" fontId="2" fillId="0" borderId="9" xfId="3" applyFont="1" applyFill="1" applyBorder="1"/>
    <xf numFmtId="9" fontId="3" fillId="0" borderId="9" xfId="3" applyFont="1" applyFill="1" applyBorder="1"/>
    <xf numFmtId="9" fontId="3" fillId="0" borderId="12" xfId="3" applyFont="1" applyFill="1" applyBorder="1"/>
    <xf numFmtId="9" fontId="3" fillId="0" borderId="7" xfId="3" applyFont="1" applyFill="1" applyBorder="1"/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22" fontId="3" fillId="7" borderId="8" xfId="0" applyNumberFormat="1" applyFont="1" applyFill="1" applyBorder="1" applyAlignment="1">
      <alignment horizontal="left"/>
    </xf>
    <xf numFmtId="0" fontId="3" fillId="5" borderId="1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9" borderId="8" xfId="0" applyFont="1" applyFill="1" applyBorder="1"/>
    <xf numFmtId="0" fontId="0" fillId="9" borderId="0" xfId="0" applyFill="1"/>
    <xf numFmtId="0" fontId="2" fillId="9" borderId="0" xfId="0" applyFont="1" applyFill="1" applyBorder="1"/>
    <xf numFmtId="165" fontId="2" fillId="9" borderId="0" xfId="1" applyNumberFormat="1" applyFont="1" applyFill="1" applyBorder="1"/>
    <xf numFmtId="0" fontId="2" fillId="9" borderId="8" xfId="0" applyFont="1" applyFill="1" applyBorder="1"/>
    <xf numFmtId="0" fontId="3" fillId="3" borderId="8" xfId="0" applyFont="1" applyFill="1" applyBorder="1"/>
    <xf numFmtId="165" fontId="3" fillId="3" borderId="9" xfId="1" applyNumberFormat="1" applyFont="1" applyFill="1" applyBorder="1"/>
    <xf numFmtId="165" fontId="3" fillId="3" borderId="0" xfId="1" applyNumberFormat="1" applyFont="1" applyFill="1" applyBorder="1"/>
    <xf numFmtId="165" fontId="3" fillId="3" borderId="2" xfId="1" applyNumberFormat="1" applyFont="1" applyFill="1" applyBorder="1"/>
    <xf numFmtId="0" fontId="3" fillId="3" borderId="0" xfId="0" applyFont="1" applyFill="1" applyBorder="1"/>
    <xf numFmtId="9" fontId="3" fillId="3" borderId="9" xfId="3" applyFont="1" applyFill="1" applyBorder="1"/>
    <xf numFmtId="165" fontId="2" fillId="9" borderId="9" xfId="1" applyNumberFormat="1" applyFont="1" applyFill="1" applyBorder="1"/>
    <xf numFmtId="38" fontId="2" fillId="9" borderId="9" xfId="1" applyNumberFormat="1" applyFont="1" applyFill="1" applyBorder="1"/>
    <xf numFmtId="9" fontId="2" fillId="9" borderId="9" xfId="3" applyFont="1" applyFill="1" applyBorder="1"/>
    <xf numFmtId="0" fontId="3" fillId="3" borderId="16" xfId="0" applyFont="1" applyFill="1" applyBorder="1"/>
    <xf numFmtId="0" fontId="3" fillId="3" borderId="17" xfId="0" applyFont="1" applyFill="1" applyBorder="1"/>
    <xf numFmtId="165" fontId="3" fillId="3" borderId="18" xfId="1" applyNumberFormat="1" applyFont="1" applyFill="1" applyBorder="1"/>
    <xf numFmtId="9" fontId="3" fillId="3" borderId="19" xfId="3" applyFont="1" applyFill="1" applyBorder="1"/>
    <xf numFmtId="9" fontId="3" fillId="3" borderId="20" xfId="3" applyFont="1" applyFill="1" applyBorder="1"/>
    <xf numFmtId="0" fontId="2" fillId="7" borderId="6" xfId="0" applyFont="1" applyFill="1" applyBorder="1"/>
    <xf numFmtId="0" fontId="3" fillId="7" borderId="0" xfId="0" applyFont="1" applyFill="1" applyBorder="1"/>
    <xf numFmtId="22" fontId="3" fillId="7" borderId="0" xfId="0" applyNumberFormat="1" applyFont="1" applyFill="1" applyBorder="1" applyAlignment="1">
      <alignment horizontal="left"/>
    </xf>
    <xf numFmtId="165" fontId="3" fillId="3" borderId="19" xfId="1" applyNumberFormat="1" applyFont="1" applyFill="1" applyBorder="1"/>
    <xf numFmtId="0" fontId="3" fillId="7" borderId="21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3" fillId="0" borderId="24" xfId="0" applyFont="1" applyBorder="1"/>
    <xf numFmtId="0" fontId="3" fillId="0" borderId="25" xfId="0" applyFont="1" applyBorder="1"/>
    <xf numFmtId="165" fontId="2" fillId="0" borderId="24" xfId="1" applyNumberFormat="1" applyFont="1" applyBorder="1"/>
    <xf numFmtId="165" fontId="2" fillId="0" borderId="25" xfId="1" applyNumberFormat="1" applyFont="1" applyBorder="1"/>
    <xf numFmtId="165" fontId="3" fillId="0" borderId="24" xfId="1" applyNumberFormat="1" applyFont="1" applyBorder="1"/>
    <xf numFmtId="165" fontId="3" fillId="0" borderId="25" xfId="1" applyNumberFormat="1" applyFont="1" applyBorder="1"/>
    <xf numFmtId="165" fontId="3" fillId="3" borderId="24" xfId="1" applyNumberFormat="1" applyFont="1" applyFill="1" applyBorder="1"/>
    <xf numFmtId="165" fontId="3" fillId="3" borderId="25" xfId="1" applyNumberFormat="1" applyFont="1" applyFill="1" applyBorder="1"/>
    <xf numFmtId="165" fontId="3" fillId="0" borderId="26" xfId="1" applyNumberFormat="1" applyFont="1" applyBorder="1"/>
    <xf numFmtId="165" fontId="3" fillId="0" borderId="27" xfId="1" applyNumberFormat="1" applyFont="1" applyBorder="1"/>
    <xf numFmtId="165" fontId="3" fillId="0" borderId="28" xfId="1" applyNumberFormat="1" applyFont="1" applyBorder="1"/>
    <xf numFmtId="165" fontId="3" fillId="0" borderId="29" xfId="1" applyNumberFormat="1" applyFont="1" applyBorder="1"/>
    <xf numFmtId="165" fontId="2" fillId="0" borderId="25" xfId="1" applyNumberFormat="1" applyFont="1" applyFill="1" applyBorder="1"/>
    <xf numFmtId="165" fontId="3" fillId="3" borderId="30" xfId="1" applyNumberFormat="1" applyFont="1" applyFill="1" applyBorder="1"/>
    <xf numFmtId="165" fontId="3" fillId="3" borderId="31" xfId="1" applyNumberFormat="1" applyFont="1" applyFill="1" applyBorder="1"/>
    <xf numFmtId="165" fontId="3" fillId="3" borderId="32" xfId="1" applyNumberFormat="1" applyFont="1" applyFill="1" applyBorder="1"/>
    <xf numFmtId="0" fontId="3" fillId="8" borderId="33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3" fillId="0" borderId="29" xfId="0" applyFont="1" applyFill="1" applyBorder="1"/>
    <xf numFmtId="0" fontId="3" fillId="0" borderId="25" xfId="0" applyFont="1" applyFill="1" applyBorder="1"/>
    <xf numFmtId="0" fontId="3" fillId="8" borderId="27" xfId="0" applyFont="1" applyFill="1" applyBorder="1" applyAlignment="1">
      <alignment horizontal="center"/>
    </xf>
    <xf numFmtId="165" fontId="3" fillId="3" borderId="17" xfId="1" applyNumberFormat="1" applyFont="1" applyFill="1" applyBorder="1"/>
    <xf numFmtId="0" fontId="3" fillId="8" borderId="22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3" fillId="0" borderId="28" xfId="0" applyFont="1" applyFill="1" applyBorder="1"/>
    <xf numFmtId="0" fontId="3" fillId="0" borderId="24" xfId="0" applyFont="1" applyFill="1" applyBorder="1"/>
    <xf numFmtId="167" fontId="14" fillId="0" borderId="24" xfId="0" applyNumberFormat="1" applyFont="1" applyFill="1" applyBorder="1"/>
    <xf numFmtId="165" fontId="2" fillId="0" borderId="24" xfId="1" applyNumberFormat="1" applyFont="1" applyFill="1" applyBorder="1"/>
    <xf numFmtId="165" fontId="3" fillId="0" borderId="24" xfId="1" applyNumberFormat="1" applyFont="1" applyFill="1" applyBorder="1"/>
    <xf numFmtId="165" fontId="3" fillId="0" borderId="26" xfId="1" applyNumberFormat="1" applyFont="1" applyFill="1" applyBorder="1"/>
    <xf numFmtId="165" fontId="3" fillId="0" borderId="28" xfId="1" applyNumberFormat="1" applyFont="1" applyFill="1" applyBorder="1"/>
    <xf numFmtId="0" fontId="3" fillId="7" borderId="29" xfId="0" applyFont="1" applyFill="1" applyBorder="1" applyAlignment="1">
      <alignment horizontal="center"/>
    </xf>
    <xf numFmtId="38" fontId="2" fillId="0" borderId="24" xfId="1" applyNumberFormat="1" applyFont="1" applyBorder="1"/>
    <xf numFmtId="38" fontId="2" fillId="0" borderId="25" xfId="1" applyNumberFormat="1" applyFont="1" applyBorder="1"/>
    <xf numFmtId="38" fontId="3" fillId="0" borderId="24" xfId="1" applyNumberFormat="1" applyFont="1" applyBorder="1"/>
    <xf numFmtId="38" fontId="3" fillId="0" borderId="25" xfId="1" applyNumberFormat="1" applyFont="1" applyBorder="1"/>
    <xf numFmtId="38" fontId="3" fillId="0" borderId="26" xfId="1" applyNumberFormat="1" applyFont="1" applyBorder="1"/>
    <xf numFmtId="38" fontId="3" fillId="0" borderId="27" xfId="1" applyNumberFormat="1" applyFont="1" applyBorder="1"/>
    <xf numFmtId="38" fontId="3" fillId="0" borderId="28" xfId="1" applyNumberFormat="1" applyFont="1" applyBorder="1"/>
    <xf numFmtId="38" fontId="3" fillId="0" borderId="29" xfId="1" applyNumberFormat="1" applyFont="1" applyBorder="1"/>
    <xf numFmtId="0" fontId="3" fillId="8" borderId="38" xfId="0" applyFont="1" applyFill="1" applyBorder="1" applyAlignment="1">
      <alignment horizontal="center"/>
    </xf>
    <xf numFmtId="0" fontId="3" fillId="8" borderId="39" xfId="0" applyFont="1" applyFill="1" applyBorder="1" applyAlignment="1">
      <alignment horizontal="center"/>
    </xf>
    <xf numFmtId="0" fontId="3" fillId="8" borderId="40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9" fontId="2" fillId="0" borderId="24" xfId="3" applyFont="1" applyFill="1" applyBorder="1"/>
    <xf numFmtId="9" fontId="2" fillId="0" borderId="25" xfId="3" applyFont="1" applyFill="1" applyBorder="1"/>
    <xf numFmtId="9" fontId="3" fillId="0" borderId="24" xfId="3" applyFont="1" applyFill="1" applyBorder="1"/>
    <xf numFmtId="9" fontId="3" fillId="0" borderId="25" xfId="3" applyFont="1" applyFill="1" applyBorder="1"/>
    <xf numFmtId="9" fontId="3" fillId="3" borderId="24" xfId="3" applyFont="1" applyFill="1" applyBorder="1"/>
    <xf numFmtId="9" fontId="3" fillId="3" borderId="25" xfId="3" applyFont="1" applyFill="1" applyBorder="1"/>
    <xf numFmtId="9" fontId="3" fillId="0" borderId="26" xfId="3" applyFont="1" applyFill="1" applyBorder="1"/>
    <xf numFmtId="9" fontId="3" fillId="0" borderId="27" xfId="3" applyFont="1" applyFill="1" applyBorder="1"/>
    <xf numFmtId="9" fontId="3" fillId="0" borderId="28" xfId="3" applyFont="1" applyFill="1" applyBorder="1"/>
    <xf numFmtId="9" fontId="3" fillId="0" borderId="29" xfId="3" applyFont="1" applyFill="1" applyBorder="1"/>
    <xf numFmtId="9" fontId="3" fillId="3" borderId="31" xfId="3" applyFont="1" applyFill="1" applyBorder="1"/>
    <xf numFmtId="0" fontId="16" fillId="0" borderId="0" xfId="0" applyFont="1"/>
    <xf numFmtId="0" fontId="3" fillId="3" borderId="6" xfId="0" applyFont="1" applyFill="1" applyBorder="1"/>
    <xf numFmtId="165" fontId="9" fillId="3" borderId="0" xfId="1" applyNumberFormat="1" applyFont="1" applyFill="1" applyBorder="1"/>
    <xf numFmtId="165" fontId="3" fillId="3" borderId="11" xfId="1" applyNumberFormat="1" applyFont="1" applyFill="1" applyBorder="1"/>
    <xf numFmtId="165" fontId="3" fillId="3" borderId="6" xfId="1" applyNumberFormat="1" applyFont="1" applyFill="1" applyBorder="1"/>
    <xf numFmtId="0" fontId="3" fillId="3" borderId="29" xfId="0" applyFont="1" applyFill="1" applyBorder="1"/>
    <xf numFmtId="0" fontId="3" fillId="3" borderId="25" xfId="0" applyFont="1" applyFill="1" applyBorder="1"/>
    <xf numFmtId="167" fontId="14" fillId="3" borderId="25" xfId="0" applyNumberFormat="1" applyFont="1" applyFill="1" applyBorder="1"/>
    <xf numFmtId="165" fontId="2" fillId="3" borderId="25" xfId="1" applyNumberFormat="1" applyFont="1" applyFill="1" applyBorder="1"/>
    <xf numFmtId="165" fontId="3" fillId="3" borderId="27" xfId="1" applyNumberFormat="1" applyFont="1" applyFill="1" applyBorder="1"/>
    <xf numFmtId="165" fontId="3" fillId="3" borderId="29" xfId="1" applyNumberFormat="1" applyFont="1" applyFill="1" applyBorder="1"/>
    <xf numFmtId="0" fontId="0" fillId="0" borderId="0" xfId="0" applyFill="1"/>
    <xf numFmtId="165" fontId="2" fillId="9" borderId="25" xfId="1" applyNumberFormat="1" applyFont="1" applyFill="1" applyBorder="1"/>
    <xf numFmtId="0" fontId="2" fillId="7" borderId="1" xfId="0" applyFont="1" applyFill="1" applyBorder="1"/>
    <xf numFmtId="0" fontId="3" fillId="7" borderId="2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9" borderId="8" xfId="0" applyFill="1" applyBorder="1"/>
    <xf numFmtId="0" fontId="0" fillId="9" borderId="0" xfId="0" applyFill="1" applyBorder="1"/>
    <xf numFmtId="0" fontId="0" fillId="9" borderId="9" xfId="0" applyFill="1" applyBorder="1"/>
    <xf numFmtId="165" fontId="2" fillId="9" borderId="8" xfId="1" applyNumberFormat="1" applyFont="1" applyFill="1" applyBorder="1"/>
    <xf numFmtId="165" fontId="0" fillId="9" borderId="8" xfId="1" applyNumberFormat="1" applyFont="1" applyFill="1" applyBorder="1"/>
    <xf numFmtId="165" fontId="0" fillId="9" borderId="0" xfId="1" applyNumberFormat="1" applyFont="1" applyFill="1" applyBorder="1"/>
    <xf numFmtId="165" fontId="0" fillId="9" borderId="9" xfId="1" applyNumberFormat="1" applyFont="1" applyFill="1" applyBorder="1"/>
    <xf numFmtId="0" fontId="16" fillId="6" borderId="8" xfId="0" applyFont="1" applyFill="1" applyBorder="1"/>
    <xf numFmtId="0" fontId="16" fillId="6" borderId="0" xfId="0" applyFont="1" applyFill="1" applyBorder="1"/>
    <xf numFmtId="0" fontId="16" fillId="6" borderId="9" xfId="0" applyFont="1" applyFill="1" applyBorder="1"/>
    <xf numFmtId="0" fontId="2" fillId="9" borderId="10" xfId="0" applyFont="1" applyFill="1" applyBorder="1"/>
    <xf numFmtId="165" fontId="2" fillId="9" borderId="11" xfId="1" applyNumberFormat="1" applyFont="1" applyFill="1" applyBorder="1"/>
    <xf numFmtId="165" fontId="2" fillId="9" borderId="12" xfId="1" applyNumberFormat="1" applyFont="1" applyFill="1" applyBorder="1"/>
    <xf numFmtId="0" fontId="3" fillId="9" borderId="5" xfId="0" applyFont="1" applyFill="1" applyBorder="1"/>
    <xf numFmtId="0" fontId="0" fillId="9" borderId="7" xfId="0" applyFill="1" applyBorder="1"/>
    <xf numFmtId="165" fontId="0" fillId="0" borderId="9" xfId="0" applyNumberFormat="1" applyBorder="1"/>
    <xf numFmtId="0" fontId="3" fillId="6" borderId="8" xfId="0" applyFont="1" applyFill="1" applyBorder="1"/>
    <xf numFmtId="165" fontId="16" fillId="6" borderId="9" xfId="0" applyNumberFormat="1" applyFont="1" applyFill="1" applyBorder="1"/>
    <xf numFmtId="38" fontId="2" fillId="9" borderId="12" xfId="1" applyNumberFormat="1" applyFont="1" applyFill="1" applyBorder="1"/>
    <xf numFmtId="43" fontId="2" fillId="9" borderId="12" xfId="1" applyFont="1" applyFill="1" applyBorder="1"/>
    <xf numFmtId="165" fontId="9" fillId="9" borderId="9" xfId="1" applyNumberFormat="1" applyFont="1" applyFill="1" applyBorder="1"/>
    <xf numFmtId="0" fontId="2" fillId="9" borderId="9" xfId="0" applyFont="1" applyFill="1" applyBorder="1"/>
    <xf numFmtId="0" fontId="3" fillId="9" borderId="9" xfId="0" applyFont="1" applyFill="1" applyBorder="1"/>
    <xf numFmtId="0" fontId="3" fillId="6" borderId="9" xfId="0" applyFont="1" applyFill="1" applyBorder="1"/>
    <xf numFmtId="0" fontId="2" fillId="9" borderId="12" xfId="0" applyFont="1" applyFill="1" applyBorder="1"/>
    <xf numFmtId="0" fontId="3" fillId="3" borderId="41" xfId="0" applyFont="1" applyFill="1" applyBorder="1"/>
    <xf numFmtId="0" fontId="3" fillId="3" borderId="42" xfId="0" applyFont="1" applyFill="1" applyBorder="1"/>
    <xf numFmtId="165" fontId="3" fillId="3" borderId="38" xfId="1" applyNumberFormat="1" applyFont="1" applyFill="1" applyBorder="1"/>
    <xf numFmtId="165" fontId="3" fillId="3" borderId="43" xfId="1" applyNumberFormat="1" applyFont="1" applyFill="1" applyBorder="1"/>
    <xf numFmtId="165" fontId="3" fillId="3" borderId="44" xfId="1" applyNumberFormat="1" applyFont="1" applyFill="1" applyBorder="1"/>
    <xf numFmtId="0" fontId="0" fillId="0" borderId="42" xfId="0" applyBorder="1"/>
    <xf numFmtId="9" fontId="3" fillId="3" borderId="38" xfId="3" applyFont="1" applyFill="1" applyBorder="1"/>
    <xf numFmtId="9" fontId="3" fillId="3" borderId="39" xfId="3" applyFont="1" applyFill="1" applyBorder="1"/>
    <xf numFmtId="9" fontId="3" fillId="3" borderId="40" xfId="3" applyFont="1" applyFill="1" applyBorder="1"/>
    <xf numFmtId="0" fontId="8" fillId="3" borderId="16" xfId="0" applyFont="1" applyFill="1" applyBorder="1"/>
    <xf numFmtId="0" fontId="3" fillId="3" borderId="20" xfId="0" applyFont="1" applyFill="1" applyBorder="1"/>
    <xf numFmtId="0" fontId="0" fillId="3" borderId="17" xfId="0" applyFill="1" applyBorder="1"/>
    <xf numFmtId="165" fontId="2" fillId="9" borderId="24" xfId="1" applyNumberFormat="1" applyFont="1" applyFill="1" applyBorder="1"/>
    <xf numFmtId="38" fontId="2" fillId="9" borderId="24" xfId="1" applyNumberFormat="1" applyFont="1" applyFill="1" applyBorder="1"/>
    <xf numFmtId="38" fontId="2" fillId="9" borderId="25" xfId="1" applyNumberFormat="1" applyFont="1" applyFill="1" applyBorder="1"/>
    <xf numFmtId="9" fontId="2" fillId="9" borderId="24" xfId="3" applyFont="1" applyFill="1" applyBorder="1"/>
    <xf numFmtId="9" fontId="2" fillId="9" borderId="25" xfId="3" applyFont="1" applyFill="1" applyBorder="1"/>
    <xf numFmtId="10" fontId="17" fillId="0" borderId="0" xfId="3" applyNumberFormat="1" applyFont="1"/>
    <xf numFmtId="164" fontId="17" fillId="0" borderId="0" xfId="0" quotePrefix="1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0" applyFont="1"/>
    <xf numFmtId="165" fontId="8" fillId="0" borderId="0" xfId="1" applyNumberFormat="1" applyFont="1"/>
    <xf numFmtId="164" fontId="8" fillId="0" borderId="0" xfId="0" applyNumberFormat="1" applyFont="1"/>
    <xf numFmtId="0" fontId="2" fillId="3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8">
    <dxf>
      <numFmt numFmtId="166" formatCode="&quot;$&quot;#,##0"/>
    </dxf>
    <dxf>
      <alignment horizontal="center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 patternType="solid">
          <bgColor rgb="FFFFFAAF"/>
        </patternFill>
      </fill>
    </dxf>
    <dxf>
      <fill>
        <patternFill patternType="solid">
          <bgColor rgb="FFFFFAAF"/>
        </patternFill>
      </fill>
    </dxf>
    <dxf>
      <fill>
        <patternFill patternType="solid">
          <bgColor rgb="FFFFFAAF"/>
        </patternFill>
      </fill>
    </dxf>
    <dxf>
      <fill>
        <patternFill patternType="solid">
          <bgColor rgb="FFFFFAAF"/>
        </patternFill>
      </fill>
    </dxf>
  </dxfs>
  <tableStyles count="0" defaultTableStyle="TableStyleMedium2" defaultPivotStyle="PivotStyleLight16"/>
  <colors>
    <mruColors>
      <color rgb="FFFFFA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aurialtman/Documents/3-White%20Heron%20Theatre/Box%20Office%20-%20Seat%20Utilization/Ovation%20-%20Box%20Office%20&amp;%20Seat%20Capacity%20Data%20FY%202017%20thru%2010-31-18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ri Altman Posner" refreshedDate="43407.456263425927" createdVersion="4" refreshedVersion="6" minRefreshableVersion="3" recordCount="179" xr:uid="{827D3414-54D7-914C-930C-B3BD4FA3600F}">
  <cacheSource type="worksheet">
    <worksheetSource ref="A1:Q180" sheet="Detail By Show 2017-2018 OctYTD" r:id="rId2"/>
  </cacheSource>
  <cacheFields count="19">
    <cacheField name="Series" numFmtId="0">
      <sharedItems count="32">
        <s v="2017 Benefit GALA"/>
        <s v="A Midsummer Masquerade"/>
        <s v="A Midsummer Night's Dream"/>
        <s v="A Nantucket Christmas Carol"/>
        <s v="A Reading of Anna Karenina"/>
        <s v="About Alice"/>
        <s v="Comedy with Kevin Flynn"/>
        <s v="Constellations"/>
        <s v="Daddy Long Legs"/>
        <s v="Evanston Salt Costs Climbing"/>
        <s v="Fear of Heights"/>
        <s v="Fit"/>
        <s v="It's a Wonderful Life: A Live Radio Play"/>
        <s v="Jimmy Tingle: Humor for Humanity"/>
        <s v="KEVIN FLYNN: FEAR OF HEIGHTS"/>
        <s v="Long Wharf Theatre New Play Workshop"/>
        <s v="Nantucket Ballet - The Beatles"/>
        <s v="Nantucket Young Playwrights'"/>
        <s v="Next Step Fest"/>
        <s v="NTI Student Production- The Nantucket Mixtape!"/>
        <s v="NTI Student Production- The Tempest"/>
        <s v="Outside Mullingar"/>
        <s v="Poetry In Motion"/>
        <s v="Poetry In Motion - Art Week 2018"/>
        <s v="Poland Strings in Concert"/>
        <s v="Private Lives"/>
        <s v="Private Lives GALA Opening Night Benefit"/>
        <s v="Romeo &amp; Juliet"/>
        <s v="SeaWife"/>
        <s v="The Last White Man"/>
        <s v="The Nantucket Mixtape Vol. 2"/>
        <s v="About Alice Opening Night" u="1"/>
      </sharedItems>
    </cacheField>
    <cacheField name="Event" numFmtId="22">
      <sharedItems containsSemiMixedTypes="0" containsNonDate="0" containsDate="1" containsString="0" minDate="2017-06-17T16:00:00" maxDate="2018-12-08T19:30:00" count="179">
        <d v="2017-07-10T18:30:00"/>
        <d v="2017-08-06T18:00:00"/>
        <d v="2018-07-30T19:30:00"/>
        <d v="2018-07-31T15:30:00"/>
        <d v="2018-08-01T10:00:00"/>
        <d v="2018-08-02T15:30:00"/>
        <d v="2018-08-04T15:30:00"/>
        <d v="2018-11-22T19:30:00"/>
        <d v="2018-11-23T19:30:00"/>
        <d v="2018-11-24T19:30:00"/>
        <d v="2018-11-29T19:30:00"/>
        <d v="2018-11-30T19:30:00"/>
        <d v="2018-12-01T19:30:00"/>
        <d v="2018-12-02T19:30:00"/>
        <d v="2018-12-06T19:30:00"/>
        <d v="2018-12-07T19:30:00"/>
        <d v="2018-12-08T19:30:00"/>
        <d v="2018-10-27T19:30:00"/>
        <d v="2018-08-22T19:30:00"/>
        <d v="2018-08-24T19:30:00"/>
        <d v="2018-08-25T19:30:00"/>
        <d v="2018-08-23T19:00:00"/>
        <d v="2018-08-12T20:00:00"/>
        <d v="2017-09-07T19:30:00"/>
        <d v="2017-09-08T19:30:00"/>
        <d v="2017-09-09T19:30:00"/>
        <d v="2017-09-10T14:00:00"/>
        <d v="2017-09-14T19:30:00"/>
        <d v="2017-09-15T19:30:00"/>
        <d v="2017-09-16T19:30:00"/>
        <d v="2017-09-17T14:00:00"/>
        <d v="2017-09-21T19:30:00"/>
        <d v="2017-09-22T19:30:00"/>
        <d v="2017-09-23T19:30:00"/>
        <d v="2018-07-05T19:30:00"/>
        <d v="2018-07-06T19:30:00"/>
        <d v="2018-07-07T19:30:00"/>
        <d v="2018-07-08T19:30:00"/>
        <d v="2018-07-10T19:30:00"/>
        <d v="2018-07-11T19:30:00"/>
        <d v="2018-07-12T19:30:00"/>
        <d v="2018-07-13T19:30:00"/>
        <d v="2018-07-14T19:30:00"/>
        <d v="2018-07-21T19:30:00"/>
        <d v="2018-07-22T19:30:00"/>
        <d v="2018-07-23T19:30:00"/>
        <d v="2018-07-29T19:30:00"/>
        <d v="2018-08-04T19:30:00"/>
        <d v="2018-08-05T19:30:00"/>
        <d v="2018-08-09T19:30:00"/>
        <d v="2018-08-10T19:30:00"/>
        <d v="2018-08-30T19:30:00"/>
        <d v="2018-08-31T18:00:00"/>
        <d v="2018-09-01T19:30:00"/>
        <d v="2018-09-02T19:30:00"/>
        <d v="2018-09-05T19:30:00"/>
        <d v="2018-09-06T19:30:00"/>
        <d v="2018-09-07T19:30:00"/>
        <d v="2018-09-08T19:30:00"/>
        <d v="2018-09-12T19:30:00"/>
        <d v="2018-09-13T19:30:00"/>
        <d v="2018-09-14T19:30:00"/>
        <d v="2018-09-15T19:30:00"/>
        <d v="2017-06-27T19:30:00"/>
        <d v="2017-06-28T19:30:00"/>
        <d v="2017-11-03T18:30:00"/>
        <d v="2017-11-04T18:30:00"/>
        <d v="2017-11-23T19:30:00"/>
        <d v="2017-11-24T19:30:00"/>
        <d v="2017-11-25T19:30:00"/>
        <d v="2017-11-26T14:00:00"/>
        <d v="2017-11-30T19:30:00"/>
        <d v="2017-12-01T19:30:00"/>
        <d v="2017-12-02T19:30:00"/>
        <d v="2017-12-03T19:30:00"/>
        <d v="2017-12-07T19:30:00"/>
        <d v="2017-12-08T19:30:00"/>
        <d v="2017-12-09T19:30:00"/>
        <d v="2017-08-07T19:30:00"/>
        <d v="2017-08-14T19:30:00"/>
        <d v="2018-09-27T19:30:00"/>
        <d v="2018-09-28T19:30:00"/>
        <d v="2018-09-29T19:30:00"/>
        <d v="2018-10-03T19:30:00"/>
        <d v="2018-10-04T19:30:00"/>
        <d v="2018-10-05T19:30:00"/>
        <d v="2018-10-06T19:30:00"/>
        <d v="2017-06-30T19:30:00"/>
        <d v="2017-07-01T19:30:00"/>
        <d v="2018-05-19T14:00:00"/>
        <d v="2018-05-19T17:30:00"/>
        <d v="2018-05-20T14:00:00"/>
        <d v="2018-05-20T17:30:00"/>
        <d v="2017-06-17T16:00:00"/>
        <d v="2017-10-07T16:00:00"/>
        <d v="2017-10-07T18:00:00"/>
        <d v="2017-08-20T16:00:00"/>
        <d v="2017-08-21T10:30:00"/>
        <d v="2017-08-21T19:30:00"/>
        <d v="2017-07-31T19:30:00"/>
        <d v="2017-08-02T10:00:00"/>
        <d v="2017-08-02T16:00:00"/>
        <d v="2017-08-03T16:00:00"/>
        <d v="2017-08-04T19:30:00"/>
        <d v="2017-07-08T19:30:00"/>
        <d v="2017-07-09T19:30:00"/>
        <d v="2017-07-12T19:30:00"/>
        <d v="2017-07-13T19:30:00"/>
        <d v="2017-07-15T19:30:00"/>
        <d v="2017-07-16T19:30:00"/>
        <d v="2017-07-23T19:30:00"/>
        <d v="2017-07-25T19:30:00"/>
        <d v="2017-07-26T19:30:00"/>
        <d v="2017-07-27T19:30:00"/>
        <d v="2017-07-28T19:30:00"/>
        <d v="2018-02-02T18:30:00"/>
        <d v="2018-02-03T18:30:00"/>
        <d v="2018-05-04T18:30:00"/>
        <d v="2018-05-05T18:30:00"/>
        <d v="2018-04-28T20:00:00"/>
        <d v="2018-07-19T19:30:00"/>
        <d v="2018-07-24T19:30:00"/>
        <d v="2018-07-25T19:30:00"/>
        <d v="2018-07-26T19:30:00"/>
        <d v="2018-07-27T19:30:00"/>
        <d v="2018-07-28T19:30:00"/>
        <d v="2018-07-31T19:30:00"/>
        <d v="2018-08-01T19:30:00"/>
        <d v="2018-08-02T19:30:00"/>
        <d v="2018-08-06T19:30:00"/>
        <d v="2018-08-07T19:30:00"/>
        <d v="2018-08-08T19:30:00"/>
        <d v="2018-08-14T19:30:00"/>
        <d v="2018-08-15T19:30:00"/>
        <d v="2018-08-16T19:30:00"/>
        <d v="2018-08-17T19:30:00"/>
        <d v="2018-08-18T19:30:00"/>
        <d v="2018-07-20T17:30:00"/>
        <d v="2017-08-03T19:30:00"/>
        <d v="2017-08-05T19:30:00"/>
        <d v="2017-08-08T19:30:00"/>
        <d v="2017-08-12T19:30:00"/>
        <d v="2017-08-13T19:30:00"/>
        <d v="2017-08-15T19:30:00"/>
        <d v="2017-08-19T19:30:00"/>
        <d v="2017-08-20T19:30:00"/>
        <d v="2017-08-22T19:30:00"/>
        <d v="2017-08-26T19:30:00"/>
        <d v="2017-08-27T19:30:00"/>
        <d v="2017-08-29T19:30:00"/>
        <d v="2017-09-02T19:30:00"/>
        <d v="2017-09-03T19:30:00"/>
        <d v="2017-07-14T19:30:00"/>
        <d v="2017-07-18T19:30:00"/>
        <d v="2017-07-19T19:30:00"/>
        <d v="2017-07-20T19:30:00"/>
        <d v="2017-07-21T19:30:00"/>
        <d v="2017-07-22T19:30:00"/>
        <d v="2017-07-29T19:30:00"/>
        <d v="2017-07-30T19:30:00"/>
        <d v="2017-08-09T19:30:00"/>
        <d v="2017-08-10T19:30:00"/>
        <d v="2017-08-11T19:30:00"/>
        <d v="2017-08-16T19:30:00"/>
        <d v="2017-08-17T19:30:00"/>
        <d v="2017-08-18T19:30:00"/>
        <d v="2017-08-23T19:30:00"/>
        <d v="2017-08-24T19:30:00"/>
        <d v="2017-08-25T19:30:00"/>
        <d v="2017-08-30T19:30:00"/>
        <d v="2017-08-31T19:30:00"/>
        <d v="2017-09-01T19:30:00"/>
        <d v="2018-06-28T19:30:00"/>
        <d v="2018-06-29T19:30:00"/>
        <d v="2018-08-13T19:30:00"/>
        <d v="2018-08-14T16:00:00"/>
        <d v="2018-08-15T10:00:00"/>
        <d v="2018-08-16T16:00:00"/>
        <d v="2018-08-17T16:00:00"/>
      </sharedItems>
      <fieldGroup par="18" base="1">
        <rangePr groupBy="months" startDate="2017-06-17T16:00:00" endDate="2018-12-08T19:30:00"/>
        <groupItems count="14">
          <s v="&lt;6/17/17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8/18"/>
        </groupItems>
      </fieldGroup>
    </cacheField>
    <cacheField name="Min. Price" numFmtId="0">
      <sharedItems containsString="0" containsBlank="1" containsNumber="1" containsInteger="1" minValue="0" maxValue="250"/>
    </cacheField>
    <cacheField name="Max Price" numFmtId="0">
      <sharedItems containsString="0" containsBlank="1" containsNumber="1" containsInteger="1" minValue="0" maxValue="250"/>
    </cacheField>
    <cacheField name="Avg Tkt $" numFmtId="164">
      <sharedItems containsSemiMixedTypes="0" containsString="0" containsNumber="1" minValue="0" maxValue="71.222222222222229"/>
    </cacheField>
    <cacheField name="Capacity" numFmtId="0">
      <sharedItems containsSemiMixedTypes="0" containsString="0" containsNumber="1" containsInteger="1" minValue="112" maxValue="153"/>
    </cacheField>
    <cacheField name="Available" numFmtId="0">
      <sharedItems containsSemiMixedTypes="0" containsString="0" containsNumber="1" containsInteger="1" minValue="0" maxValue="121"/>
    </cacheField>
    <cacheField name="Hold: General" numFmtId="0">
      <sharedItems containsSemiMixedTypes="0" containsString="0" containsNumber="1" containsInteger="1" minValue="0" maxValue="0"/>
    </cacheField>
    <cacheField name="V" numFmtId="0">
      <sharedItems containsSemiMixedTypes="0" containsString="0" containsNumber="1" containsInteger="1" minValue="0" maxValue="0"/>
    </cacheField>
    <cacheField name="Patron Hold" numFmtId="0">
      <sharedItems containsSemiMixedTypes="0" containsString="0" containsNumber="1" containsInteger="1" minValue="0" maxValue="0"/>
    </cacheField>
    <cacheField name="Attending" numFmtId="0">
      <sharedItems containsSemiMixedTypes="0" containsString="0" containsNumber="1" containsInteger="1" minValue="0" maxValue="153"/>
    </cacheField>
    <cacheField name="% Attending" numFmtId="10">
      <sharedItems containsSemiMixedTypes="0" containsString="0" containsNumber="1" minValue="0" maxValue="1"/>
    </cacheField>
    <cacheField name="% Seat Util. 120" numFmtId="10">
      <sharedItems containsSemiMixedTypes="0" containsString="0" containsNumber="1" minValue="0" maxValue="1.2749999999999999"/>
    </cacheField>
    <cacheField name="Ticket Base" numFmtId="43">
      <sharedItems containsSemiMixedTypes="0" containsString="0" containsNumber="1" containsInteger="1" minValue="0" maxValue="8795"/>
    </cacheField>
    <cacheField name="Facility Fee" numFmtId="43">
      <sharedItems containsSemiMixedTypes="0" containsString="0" containsNumber="1" containsInteger="1" minValue="0" maxValue="0"/>
    </cacheField>
    <cacheField name="Consumer Fee" numFmtId="43">
      <sharedItems containsSemiMixedTypes="0" containsString="0" containsNumber="1" minValue="0" maxValue="495"/>
    </cacheField>
    <cacheField name="Sales Total" numFmtId="43">
      <sharedItems containsSemiMixedTypes="0" containsString="0" containsNumber="1" minValue="0" maxValue="9114.5"/>
    </cacheField>
    <cacheField name="Quarters" numFmtId="0" databaseField="0">
      <fieldGroup base="1">
        <rangePr groupBy="quarters" startDate="2017-06-17T16:00:00" endDate="2018-12-08T19:30:00"/>
        <groupItems count="6">
          <s v="&lt;6/17/17"/>
          <s v="Qtr1"/>
          <s v="Qtr2"/>
          <s v="Qtr3"/>
          <s v="Qtr4"/>
          <s v="&gt;12/8/18"/>
        </groupItems>
      </fieldGroup>
    </cacheField>
    <cacheField name="Years" numFmtId="0" databaseField="0">
      <fieldGroup base="1">
        <rangePr groupBy="years" startDate="2017-06-17T16:00:00" endDate="2018-12-08T19:30:00"/>
        <groupItems count="4">
          <s v="&lt;6/17/17"/>
          <s v="2017"/>
          <s v="2018"/>
          <s v="&gt;12/8/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9">
  <r>
    <x v="0"/>
    <x v="0"/>
    <m/>
    <m/>
    <n v="0"/>
    <n v="120"/>
    <n v="1"/>
    <n v="0"/>
    <n v="0"/>
    <n v="0"/>
    <n v="119"/>
    <n v="0.99170000000000003"/>
    <n v="0.9916666666666667"/>
    <n v="0"/>
    <n v="0"/>
    <n v="0"/>
    <n v="0"/>
  </r>
  <r>
    <x v="1"/>
    <x v="1"/>
    <n v="75"/>
    <n v="75"/>
    <n v="35.87394957983193"/>
    <n v="136"/>
    <n v="17"/>
    <n v="0"/>
    <n v="0"/>
    <n v="0"/>
    <n v="119"/>
    <n v="0.875"/>
    <n v="0.9916666666666667"/>
    <n v="4125"/>
    <n v="0"/>
    <n v="144"/>
    <n v="4269"/>
  </r>
  <r>
    <x v="2"/>
    <x v="2"/>
    <n v="10"/>
    <n v="55"/>
    <n v="43.699186991869915"/>
    <n v="152"/>
    <n v="29"/>
    <n v="0"/>
    <n v="0"/>
    <n v="0"/>
    <n v="123"/>
    <n v="0.80920000000000003"/>
    <n v="1.0249999999999999"/>
    <n v="5180"/>
    <n v="0"/>
    <n v="195"/>
    <n v="5375"/>
  </r>
  <r>
    <x v="2"/>
    <x v="3"/>
    <n v="10"/>
    <n v="55"/>
    <n v="20.743589743589745"/>
    <n v="120"/>
    <n v="81"/>
    <n v="0"/>
    <n v="0"/>
    <n v="0"/>
    <n v="39"/>
    <n v="0.32500000000000001"/>
    <n v="0.32500000000000001"/>
    <n v="754"/>
    <n v="0"/>
    <n v="55"/>
    <n v="809"/>
  </r>
  <r>
    <x v="2"/>
    <x v="4"/>
    <n v="10"/>
    <n v="55"/>
    <n v="3.0364583333333335"/>
    <n v="120"/>
    <n v="24"/>
    <n v="0"/>
    <n v="0"/>
    <n v="0"/>
    <n v="96"/>
    <n v="0.8"/>
    <n v="0.8"/>
    <n v="249"/>
    <n v="0"/>
    <n v="42.5"/>
    <n v="291.5"/>
  </r>
  <r>
    <x v="2"/>
    <x v="5"/>
    <n v="10"/>
    <n v="55"/>
    <n v="17.614035087719298"/>
    <n v="120"/>
    <n v="63"/>
    <n v="0"/>
    <n v="0"/>
    <n v="0"/>
    <n v="57"/>
    <n v="0.47499999999999998"/>
    <n v="0.47499999999999998"/>
    <n v="959"/>
    <n v="0"/>
    <n v="45"/>
    <n v="1004"/>
  </r>
  <r>
    <x v="2"/>
    <x v="6"/>
    <n v="10"/>
    <n v="55"/>
    <n v="16.757425742574256"/>
    <n v="120"/>
    <n v="19"/>
    <n v="0"/>
    <n v="0"/>
    <n v="0"/>
    <n v="101"/>
    <n v="0.8417"/>
    <n v="0.84166666666666667"/>
    <n v="1555"/>
    <n v="0"/>
    <n v="137.5"/>
    <n v="1692.5"/>
  </r>
  <r>
    <x v="3"/>
    <x v="7"/>
    <n v="30"/>
    <n v="35"/>
    <n v="34.4375"/>
    <n v="121"/>
    <n v="105"/>
    <n v="0"/>
    <n v="0"/>
    <n v="0"/>
    <n v="16"/>
    <n v="0.13220000000000001"/>
    <n v="0.13333333333333333"/>
    <n v="515"/>
    <n v="0"/>
    <n v="36"/>
    <n v="551"/>
  </r>
  <r>
    <x v="3"/>
    <x v="8"/>
    <n v="60"/>
    <n v="70"/>
    <n v="54.611111111111114"/>
    <n v="121"/>
    <n v="103"/>
    <n v="0"/>
    <n v="0"/>
    <n v="0"/>
    <n v="18"/>
    <n v="0.14879999999999999"/>
    <n v="0.15"/>
    <n v="920"/>
    <n v="0"/>
    <n v="63"/>
    <n v="983"/>
  </r>
  <r>
    <x v="3"/>
    <x v="9"/>
    <n v="60"/>
    <n v="70"/>
    <n v="0"/>
    <n v="121"/>
    <n v="121"/>
    <n v="0"/>
    <n v="0"/>
    <n v="0"/>
    <n v="0"/>
    <n v="0"/>
    <n v="0"/>
    <n v="0"/>
    <n v="0"/>
    <n v="0"/>
    <n v="0"/>
  </r>
  <r>
    <x v="3"/>
    <x v="10"/>
    <n v="30"/>
    <n v="35"/>
    <n v="35.375"/>
    <n v="121"/>
    <n v="105"/>
    <n v="0"/>
    <n v="0"/>
    <n v="0"/>
    <n v="16"/>
    <n v="0.13220000000000001"/>
    <n v="0.13333333333333333"/>
    <n v="530"/>
    <n v="0"/>
    <n v="36"/>
    <n v="566"/>
  </r>
  <r>
    <x v="3"/>
    <x v="11"/>
    <n v="60"/>
    <n v="70"/>
    <n v="70.214285714285708"/>
    <n v="121"/>
    <n v="114"/>
    <n v="0"/>
    <n v="0"/>
    <n v="0"/>
    <n v="7"/>
    <n v="5.79E-2"/>
    <n v="5.8333333333333334E-2"/>
    <n v="460"/>
    <n v="0"/>
    <n v="31.5"/>
    <n v="491.5"/>
  </r>
  <r>
    <x v="3"/>
    <x v="12"/>
    <n v="60"/>
    <n v="70"/>
    <n v="61.38"/>
    <n v="121"/>
    <n v="96"/>
    <n v="0"/>
    <n v="0"/>
    <n v="0"/>
    <n v="25"/>
    <n v="0.20660000000000001"/>
    <n v="0.20833333333333334"/>
    <n v="1440"/>
    <n v="0"/>
    <n v="94.5"/>
    <n v="1534.5"/>
  </r>
  <r>
    <x v="3"/>
    <x v="13"/>
    <n v="60"/>
    <n v="70"/>
    <n v="0"/>
    <n v="121"/>
    <n v="121"/>
    <n v="0"/>
    <n v="0"/>
    <n v="0"/>
    <n v="0"/>
    <n v="0"/>
    <n v="0"/>
    <n v="0"/>
    <n v="0"/>
    <n v="0"/>
    <n v="0"/>
  </r>
  <r>
    <x v="3"/>
    <x v="14"/>
    <n v="30"/>
    <n v="35"/>
    <n v="0"/>
    <n v="121"/>
    <n v="121"/>
    <n v="0"/>
    <n v="0"/>
    <n v="0"/>
    <n v="0"/>
    <n v="0"/>
    <n v="0"/>
    <n v="0"/>
    <n v="0"/>
    <n v="0"/>
    <n v="0"/>
  </r>
  <r>
    <x v="3"/>
    <x v="15"/>
    <n v="60"/>
    <n v="70"/>
    <n v="64.5"/>
    <n v="121"/>
    <n v="119"/>
    <n v="0"/>
    <n v="0"/>
    <n v="0"/>
    <n v="2"/>
    <n v="1.6500000000000001E-2"/>
    <n v="1.6666666666666666E-2"/>
    <n v="120"/>
    <n v="0"/>
    <n v="9"/>
    <n v="129"/>
  </r>
  <r>
    <x v="3"/>
    <x v="16"/>
    <n v="60"/>
    <n v="70"/>
    <n v="0"/>
    <n v="121"/>
    <n v="121"/>
    <n v="0"/>
    <n v="0"/>
    <n v="0"/>
    <n v="0"/>
    <n v="0"/>
    <n v="0"/>
    <n v="0"/>
    <n v="0"/>
    <n v="0"/>
    <n v="0"/>
  </r>
  <r>
    <x v="4"/>
    <x v="17"/>
    <n v="10"/>
    <n v="25"/>
    <n v="11.191489361702128"/>
    <n v="120"/>
    <n v="73"/>
    <n v="0"/>
    <n v="0"/>
    <n v="0"/>
    <n v="47"/>
    <n v="0.39169999999999999"/>
    <n v="0.39166666666666666"/>
    <n v="475"/>
    <n v="0"/>
    <n v="51"/>
    <n v="526"/>
  </r>
  <r>
    <x v="5"/>
    <x v="18"/>
    <n v="60"/>
    <n v="70"/>
    <n v="60.104761904761908"/>
    <n v="120"/>
    <n v="15"/>
    <n v="0"/>
    <n v="0"/>
    <n v="0"/>
    <n v="105"/>
    <n v="0.875"/>
    <n v="0.875"/>
    <n v="5960"/>
    <n v="0"/>
    <n v="351"/>
    <n v="6311"/>
  </r>
  <r>
    <x v="5"/>
    <x v="19"/>
    <n v="60"/>
    <n v="70"/>
    <n v="52.913636363636364"/>
    <n v="136"/>
    <n v="26"/>
    <n v="0"/>
    <n v="0"/>
    <n v="0"/>
    <n v="110"/>
    <n v="0.80879999999999996"/>
    <n v="0.91666666666666663"/>
    <n v="5600"/>
    <n v="0"/>
    <n v="220.5"/>
    <n v="5820.5"/>
  </r>
  <r>
    <x v="5"/>
    <x v="20"/>
    <n v="60"/>
    <n v="70"/>
    <n v="52.137323943661968"/>
    <n v="152"/>
    <n v="10"/>
    <n v="0"/>
    <n v="0"/>
    <n v="0"/>
    <n v="142"/>
    <n v="0.93420000000000003"/>
    <n v="1.1833333333333333"/>
    <n v="7138"/>
    <n v="0"/>
    <n v="265.5"/>
    <n v="7403.5"/>
  </r>
  <r>
    <x v="5"/>
    <x v="21"/>
    <n v="70"/>
    <n v="100"/>
    <n v="59.571895424836605"/>
    <n v="153"/>
    <n v="0"/>
    <n v="0"/>
    <n v="0"/>
    <n v="0"/>
    <n v="153"/>
    <n v="1"/>
    <n v="1.2749999999999999"/>
    <n v="8795"/>
    <n v="0"/>
    <n v="319.5"/>
    <n v="9114.5"/>
  </r>
  <r>
    <x v="6"/>
    <x v="22"/>
    <n v="30"/>
    <n v="40"/>
    <n v="34.43333333333333"/>
    <n v="152"/>
    <n v="2"/>
    <n v="0"/>
    <n v="0"/>
    <n v="0"/>
    <n v="150"/>
    <n v="0.98680000000000001"/>
    <n v="1.25"/>
    <n v="4670"/>
    <n v="0"/>
    <n v="495"/>
    <n v="5165"/>
  </r>
  <r>
    <x v="7"/>
    <x v="23"/>
    <n v="35"/>
    <n v="70"/>
    <n v="45.409090909090907"/>
    <n v="120"/>
    <n v="87"/>
    <n v="0"/>
    <n v="0"/>
    <n v="0"/>
    <n v="33"/>
    <n v="0.27500000000000002"/>
    <n v="0.27500000000000002"/>
    <n v="1440"/>
    <n v="0"/>
    <n v="58.5"/>
    <n v="1498.5"/>
  </r>
  <r>
    <x v="7"/>
    <x v="24"/>
    <n v="35"/>
    <n v="70"/>
    <n v="30.143617021276597"/>
    <n v="120"/>
    <n v="26"/>
    <n v="0"/>
    <n v="0"/>
    <n v="0"/>
    <n v="94"/>
    <n v="0.7833"/>
    <n v="0.78333333333333333"/>
    <n v="2730"/>
    <n v="0"/>
    <n v="103.5"/>
    <n v="2833.5"/>
  </r>
  <r>
    <x v="7"/>
    <x v="25"/>
    <n v="35"/>
    <n v="70"/>
    <n v="36.645454545454548"/>
    <n v="120"/>
    <n v="65"/>
    <n v="0"/>
    <n v="0"/>
    <n v="0"/>
    <n v="55"/>
    <n v="0.45829999999999999"/>
    <n v="0.45833333333333331"/>
    <n v="1930"/>
    <n v="0"/>
    <n v="85.5"/>
    <n v="2015.5"/>
  </r>
  <r>
    <x v="7"/>
    <x v="26"/>
    <n v="40"/>
    <n v="60"/>
    <n v="29.333333333333332"/>
    <n v="120"/>
    <n v="105"/>
    <n v="0"/>
    <n v="0"/>
    <n v="0"/>
    <n v="15"/>
    <n v="0.125"/>
    <n v="0.125"/>
    <n v="440"/>
    <n v="0"/>
    <n v="0"/>
    <n v="440"/>
  </r>
  <r>
    <x v="7"/>
    <x v="27"/>
    <n v="35"/>
    <n v="70"/>
    <n v="58.195652173913047"/>
    <n v="120"/>
    <n v="97"/>
    <n v="0"/>
    <n v="0"/>
    <n v="0"/>
    <n v="23"/>
    <n v="0.19170000000000001"/>
    <n v="0.19166666666666668"/>
    <n v="1280"/>
    <n v="0"/>
    <n v="58.5"/>
    <n v="1338.5"/>
  </r>
  <r>
    <x v="7"/>
    <x v="28"/>
    <n v="35"/>
    <n v="70"/>
    <n v="67.242424242424249"/>
    <n v="120"/>
    <n v="87"/>
    <n v="0"/>
    <n v="0"/>
    <n v="0"/>
    <n v="33"/>
    <n v="0.27500000000000002"/>
    <n v="0.27500000000000002"/>
    <n v="2120"/>
    <n v="0"/>
    <n v="99"/>
    <n v="2219"/>
  </r>
  <r>
    <x v="7"/>
    <x v="29"/>
    <n v="35"/>
    <n v="70"/>
    <n v="46.685714285714283"/>
    <n v="120"/>
    <n v="85"/>
    <n v="0"/>
    <n v="0"/>
    <n v="0"/>
    <n v="35"/>
    <n v="0.29170000000000001"/>
    <n v="0.29166666666666669"/>
    <n v="1580"/>
    <n v="0"/>
    <n v="54"/>
    <n v="1634"/>
  </r>
  <r>
    <x v="7"/>
    <x v="30"/>
    <n v="40"/>
    <n v="60"/>
    <n v="24"/>
    <n v="120"/>
    <n v="105"/>
    <n v="0"/>
    <n v="0"/>
    <n v="0"/>
    <n v="15"/>
    <n v="0.125"/>
    <n v="0.125"/>
    <n v="360"/>
    <n v="0"/>
    <n v="0"/>
    <n v="360"/>
  </r>
  <r>
    <x v="7"/>
    <x v="31"/>
    <n v="30"/>
    <n v="35"/>
    <n v="38.788888888888891"/>
    <n v="120"/>
    <n v="75"/>
    <n v="0"/>
    <n v="0"/>
    <n v="0"/>
    <n v="45"/>
    <n v="0.375"/>
    <n v="0.375"/>
    <n v="1660"/>
    <n v="0"/>
    <n v="85.5"/>
    <n v="1745.5"/>
  </r>
  <r>
    <x v="7"/>
    <x v="32"/>
    <n v="30"/>
    <n v="35"/>
    <n v="28.753731343283583"/>
    <n v="121"/>
    <n v="54"/>
    <n v="0"/>
    <n v="0"/>
    <n v="0"/>
    <n v="67"/>
    <n v="0.55369999999999997"/>
    <n v="0.55833333333333335"/>
    <n v="1860"/>
    <n v="0"/>
    <n v="66.5"/>
    <n v="1926.5"/>
  </r>
  <r>
    <x v="7"/>
    <x v="33"/>
    <n v="30"/>
    <n v="35"/>
    <n v="34.284090909090907"/>
    <n v="121"/>
    <n v="77"/>
    <n v="0"/>
    <n v="0"/>
    <n v="0"/>
    <n v="44"/>
    <n v="0.36359999999999998"/>
    <n v="0.36666666666666664"/>
    <n v="1450"/>
    <n v="0"/>
    <n v="58.5"/>
    <n v="1508.5"/>
  </r>
  <r>
    <x v="8"/>
    <x v="34"/>
    <n v="60"/>
    <n v="70"/>
    <n v="13.854166666666666"/>
    <n v="120"/>
    <n v="72"/>
    <n v="0"/>
    <n v="0"/>
    <n v="0"/>
    <n v="48"/>
    <n v="0.4"/>
    <n v="0.4"/>
    <n v="620"/>
    <n v="0"/>
    <n v="45"/>
    <n v="665"/>
  </r>
  <r>
    <x v="8"/>
    <x v="35"/>
    <n v="60"/>
    <n v="70"/>
    <n v="28.886363636363637"/>
    <n v="120"/>
    <n v="54"/>
    <n v="0"/>
    <n v="0"/>
    <n v="0"/>
    <n v="66"/>
    <n v="0.55000000000000004"/>
    <n v="0.55000000000000004"/>
    <n v="1830"/>
    <n v="0"/>
    <n v="76.5"/>
    <n v="1906.5"/>
  </r>
  <r>
    <x v="8"/>
    <x v="36"/>
    <n v="60"/>
    <n v="70"/>
    <n v="43.54054054054054"/>
    <n v="120"/>
    <n v="83"/>
    <n v="0"/>
    <n v="0"/>
    <n v="0"/>
    <n v="37"/>
    <n v="0.30830000000000002"/>
    <n v="0.30833333333333335"/>
    <n v="1530"/>
    <n v="0"/>
    <n v="81"/>
    <n v="1611"/>
  </r>
  <r>
    <x v="8"/>
    <x v="37"/>
    <n v="60"/>
    <n v="70"/>
    <n v="47.21875"/>
    <n v="120"/>
    <n v="88"/>
    <n v="0"/>
    <n v="0"/>
    <n v="0"/>
    <n v="32"/>
    <n v="0.26669999999999999"/>
    <n v="0.26666666666666666"/>
    <n v="1430"/>
    <n v="0"/>
    <n v="81"/>
    <n v="1511"/>
  </r>
  <r>
    <x v="8"/>
    <x v="38"/>
    <n v="60"/>
    <n v="70"/>
    <n v="48.225000000000001"/>
    <n v="120"/>
    <n v="80"/>
    <n v="0"/>
    <n v="0"/>
    <n v="0"/>
    <n v="40"/>
    <n v="0.33329999999999999"/>
    <n v="0.33333333333333331"/>
    <n v="1830"/>
    <n v="0"/>
    <n v="99"/>
    <n v="1929"/>
  </r>
  <r>
    <x v="8"/>
    <x v="39"/>
    <n v="60"/>
    <n v="70"/>
    <n v="50.706896551724135"/>
    <n v="120"/>
    <n v="91"/>
    <n v="0"/>
    <n v="0"/>
    <n v="0"/>
    <n v="29"/>
    <n v="0.2417"/>
    <n v="0.24166666666666667"/>
    <n v="1430"/>
    <n v="0"/>
    <n v="40.5"/>
    <n v="1470.5"/>
  </r>
  <r>
    <x v="8"/>
    <x v="40"/>
    <n v="60"/>
    <n v="70"/>
    <n v="41.666666666666664"/>
    <n v="120"/>
    <n v="78"/>
    <n v="0"/>
    <n v="0"/>
    <n v="0"/>
    <n v="42"/>
    <n v="0.35"/>
    <n v="0.35"/>
    <n v="1660"/>
    <n v="0"/>
    <n v="90"/>
    <n v="1750"/>
  </r>
  <r>
    <x v="8"/>
    <x v="41"/>
    <n v="60"/>
    <n v="70"/>
    <n v="52.375"/>
    <n v="120"/>
    <n v="92"/>
    <n v="0"/>
    <n v="0"/>
    <n v="0"/>
    <n v="28"/>
    <n v="0.23330000000000001"/>
    <n v="0.23333333333333334"/>
    <n v="1390"/>
    <n v="0"/>
    <n v="76.5"/>
    <n v="1466.5"/>
  </r>
  <r>
    <x v="8"/>
    <x v="42"/>
    <n v="60"/>
    <n v="70"/>
    <n v="57.787500000000001"/>
    <n v="120"/>
    <n v="80"/>
    <n v="0"/>
    <n v="0"/>
    <n v="0"/>
    <n v="40"/>
    <n v="0.33329999999999999"/>
    <n v="0.33333333333333331"/>
    <n v="2190"/>
    <n v="0"/>
    <n v="121.5"/>
    <n v="2311.5"/>
  </r>
  <r>
    <x v="8"/>
    <x v="43"/>
    <n v="60"/>
    <n v="70"/>
    <n v="60.779411764705884"/>
    <n v="120"/>
    <n v="86"/>
    <n v="0"/>
    <n v="0"/>
    <n v="0"/>
    <n v="34"/>
    <n v="0.2833"/>
    <n v="0.28333333333333333"/>
    <n v="1990"/>
    <n v="0"/>
    <n v="76.5"/>
    <n v="2066.5"/>
  </r>
  <r>
    <x v="8"/>
    <x v="44"/>
    <n v="60"/>
    <n v="70"/>
    <n v="48.694805194805198"/>
    <n v="120"/>
    <n v="43"/>
    <n v="0"/>
    <n v="0"/>
    <n v="0"/>
    <n v="77"/>
    <n v="0.64170000000000005"/>
    <n v="0.64166666666666672"/>
    <n v="3565"/>
    <n v="0"/>
    <n v="184.5"/>
    <n v="3749.5"/>
  </r>
  <r>
    <x v="8"/>
    <x v="45"/>
    <n v="60"/>
    <n v="70"/>
    <n v="50.830188679245282"/>
    <n v="120"/>
    <n v="67"/>
    <n v="0"/>
    <n v="0"/>
    <n v="0"/>
    <n v="53"/>
    <n v="0.44169999999999998"/>
    <n v="0.44166666666666665"/>
    <n v="2550"/>
    <n v="0"/>
    <n v="144"/>
    <n v="2694"/>
  </r>
  <r>
    <x v="8"/>
    <x v="46"/>
    <n v="60"/>
    <n v="70"/>
    <n v="38.35"/>
    <n v="120"/>
    <n v="40"/>
    <n v="0"/>
    <n v="0"/>
    <n v="0"/>
    <n v="80"/>
    <n v="0.66669999999999996"/>
    <n v="0.66666666666666663"/>
    <n v="2960"/>
    <n v="0"/>
    <n v="108"/>
    <n v="3068"/>
  </r>
  <r>
    <x v="8"/>
    <x v="47"/>
    <n v="60"/>
    <n v="70"/>
    <n v="53.524999999999999"/>
    <n v="120"/>
    <n v="40"/>
    <n v="0"/>
    <n v="0"/>
    <n v="0"/>
    <n v="80"/>
    <n v="0.66669999999999996"/>
    <n v="0.66666666666666663"/>
    <n v="4030"/>
    <n v="0"/>
    <n v="252"/>
    <n v="4282"/>
  </r>
  <r>
    <x v="8"/>
    <x v="48"/>
    <n v="60"/>
    <n v="70"/>
    <n v="50.560975609756099"/>
    <n v="120"/>
    <n v="38"/>
    <n v="0"/>
    <n v="0"/>
    <n v="0"/>
    <n v="82"/>
    <n v="0.68330000000000002"/>
    <n v="0.68333333333333335"/>
    <n v="3930"/>
    <n v="0"/>
    <n v="216"/>
    <n v="4146"/>
  </r>
  <r>
    <x v="8"/>
    <x v="49"/>
    <n v="60"/>
    <n v="70"/>
    <n v="57.3"/>
    <n v="120"/>
    <n v="45"/>
    <n v="0"/>
    <n v="0"/>
    <n v="0"/>
    <n v="75"/>
    <n v="0.625"/>
    <n v="0.625"/>
    <n v="4050"/>
    <n v="0"/>
    <n v="247.5"/>
    <n v="4297.5"/>
  </r>
  <r>
    <x v="8"/>
    <x v="50"/>
    <n v="60"/>
    <n v="70"/>
    <n v="49.372641509433961"/>
    <n v="120"/>
    <n v="14"/>
    <n v="0"/>
    <n v="0"/>
    <n v="0"/>
    <n v="106"/>
    <n v="0.88329999999999997"/>
    <n v="0.8833333333333333"/>
    <n v="4950"/>
    <n v="0"/>
    <n v="283.5"/>
    <n v="5233.5"/>
  </r>
  <r>
    <x v="9"/>
    <x v="51"/>
    <n v="60"/>
    <n v="70"/>
    <n v="0"/>
    <n v="120"/>
    <n v="120"/>
    <n v="0"/>
    <n v="0"/>
    <n v="0"/>
    <n v="0"/>
    <n v="0"/>
    <n v="0"/>
    <n v="0"/>
    <n v="0"/>
    <n v="0"/>
    <n v="0"/>
  </r>
  <r>
    <x v="9"/>
    <x v="52"/>
    <n v="75"/>
    <n v="75"/>
    <n v="36.008333333333333"/>
    <n v="122"/>
    <n v="2"/>
    <n v="0"/>
    <n v="0"/>
    <n v="0"/>
    <n v="120"/>
    <n v="0.98360000000000003"/>
    <n v="1"/>
    <n v="4150"/>
    <n v="0"/>
    <n v="171"/>
    <n v="4321"/>
  </r>
  <r>
    <x v="9"/>
    <x v="53"/>
    <n v="60"/>
    <n v="70"/>
    <n v="44.579365079365083"/>
    <n v="120"/>
    <n v="57"/>
    <n v="0"/>
    <n v="0"/>
    <n v="0"/>
    <n v="63"/>
    <n v="0.52500000000000002"/>
    <n v="0.52500000000000002"/>
    <n v="2660"/>
    <n v="0"/>
    <n v="148.5"/>
    <n v="2808.5"/>
  </r>
  <r>
    <x v="9"/>
    <x v="54"/>
    <n v="60"/>
    <n v="70"/>
    <n v="45.352459016393439"/>
    <n v="120"/>
    <n v="59"/>
    <n v="0"/>
    <n v="0"/>
    <n v="0"/>
    <n v="61"/>
    <n v="0.50829999999999997"/>
    <n v="0.5083333333333333"/>
    <n v="2690"/>
    <n v="0"/>
    <n v="76.5"/>
    <n v="2766.5"/>
  </r>
  <r>
    <x v="9"/>
    <x v="55"/>
    <n v="60"/>
    <n v="70"/>
    <n v="47.670731707317074"/>
    <n v="120"/>
    <n v="79"/>
    <n v="0"/>
    <n v="0"/>
    <n v="0"/>
    <n v="41"/>
    <n v="0.3417"/>
    <n v="0.34166666666666667"/>
    <n v="1860"/>
    <n v="0"/>
    <n v="94.5"/>
    <n v="1954.5"/>
  </r>
  <r>
    <x v="9"/>
    <x v="56"/>
    <n v="60"/>
    <n v="70"/>
    <n v="37.930232558139537"/>
    <n v="120"/>
    <n v="77"/>
    <n v="0"/>
    <n v="0"/>
    <n v="0"/>
    <n v="43"/>
    <n v="0.35830000000000001"/>
    <n v="0.35833333333333334"/>
    <n v="1550"/>
    <n v="0"/>
    <n v="81"/>
    <n v="1631"/>
  </r>
  <r>
    <x v="9"/>
    <x v="57"/>
    <n v="60"/>
    <n v="70"/>
    <n v="53.58064516129032"/>
    <n v="120"/>
    <n v="89"/>
    <n v="0"/>
    <n v="0"/>
    <n v="0"/>
    <n v="31"/>
    <n v="0.25829999999999997"/>
    <n v="0.25833333333333336"/>
    <n v="1580"/>
    <n v="0"/>
    <n v="81"/>
    <n v="1661"/>
  </r>
  <r>
    <x v="9"/>
    <x v="58"/>
    <n v="60"/>
    <n v="70"/>
    <n v="40.388059701492537"/>
    <n v="120"/>
    <n v="53"/>
    <n v="0"/>
    <n v="0"/>
    <n v="0"/>
    <n v="67"/>
    <n v="0.55830000000000002"/>
    <n v="0.55833333333333335"/>
    <n v="2580"/>
    <n v="0"/>
    <n v="126"/>
    <n v="2706"/>
  </r>
  <r>
    <x v="9"/>
    <x v="59"/>
    <n v="60"/>
    <n v="70"/>
    <n v="54.826388888888886"/>
    <n v="120"/>
    <n v="48"/>
    <n v="0"/>
    <n v="0"/>
    <n v="0"/>
    <n v="72"/>
    <n v="0.6"/>
    <n v="0.6"/>
    <n v="3790"/>
    <n v="0"/>
    <n v="157.5"/>
    <n v="3947.5"/>
  </r>
  <r>
    <x v="9"/>
    <x v="60"/>
    <n v="60"/>
    <n v="70"/>
    <n v="47.479166666666664"/>
    <n v="120"/>
    <n v="48"/>
    <n v="0"/>
    <n v="0"/>
    <n v="0"/>
    <n v="72"/>
    <n v="0.6"/>
    <n v="0.6"/>
    <n v="3270"/>
    <n v="0"/>
    <n v="148.5"/>
    <n v="3418.5"/>
  </r>
  <r>
    <x v="9"/>
    <x v="61"/>
    <n v="60"/>
    <n v="70"/>
    <n v="36.18888888888889"/>
    <n v="120"/>
    <n v="75"/>
    <n v="0"/>
    <n v="0"/>
    <n v="0"/>
    <n v="45"/>
    <n v="0.375"/>
    <n v="0.375"/>
    <n v="1570"/>
    <n v="0"/>
    <n v="58.5"/>
    <n v="1628.5"/>
  </r>
  <r>
    <x v="9"/>
    <x v="62"/>
    <n v="60"/>
    <n v="70"/>
    <n v="47.5"/>
    <n v="120"/>
    <n v="70"/>
    <n v="0"/>
    <n v="0"/>
    <n v="0"/>
    <n v="50"/>
    <n v="0.41670000000000001"/>
    <n v="0.41666666666666669"/>
    <n v="2240"/>
    <n v="0"/>
    <n v="135"/>
    <n v="2375"/>
  </r>
  <r>
    <x v="10"/>
    <x v="63"/>
    <n v="30"/>
    <n v="35"/>
    <n v="35.329545454545453"/>
    <n v="120"/>
    <n v="76"/>
    <n v="0"/>
    <n v="0"/>
    <n v="0"/>
    <n v="44"/>
    <n v="0.36670000000000003"/>
    <n v="0.36666666666666664"/>
    <n v="1370"/>
    <n v="0"/>
    <n v="184.5"/>
    <n v="1554.5"/>
  </r>
  <r>
    <x v="10"/>
    <x v="64"/>
    <n v="30"/>
    <n v="35"/>
    <n v="34.36904761904762"/>
    <n v="120"/>
    <n v="78"/>
    <n v="0"/>
    <n v="0"/>
    <n v="0"/>
    <n v="42"/>
    <n v="0.35"/>
    <n v="0.35"/>
    <n v="1340"/>
    <n v="0"/>
    <n v="103.5"/>
    <n v="1443.5"/>
  </r>
  <r>
    <x v="11"/>
    <x v="65"/>
    <n v="5"/>
    <n v="25"/>
    <n v="16.2"/>
    <n v="121"/>
    <n v="91"/>
    <n v="0"/>
    <n v="0"/>
    <n v="0"/>
    <n v="30"/>
    <n v="0.24790000000000001"/>
    <n v="0.25"/>
    <n v="460"/>
    <n v="0"/>
    <n v="26"/>
    <n v="486"/>
  </r>
  <r>
    <x v="11"/>
    <x v="66"/>
    <n v="5"/>
    <n v="25"/>
    <n v="20.212121212121211"/>
    <n v="120"/>
    <n v="87"/>
    <n v="0"/>
    <n v="0"/>
    <n v="0"/>
    <n v="33"/>
    <n v="0.27500000000000002"/>
    <n v="0.27500000000000002"/>
    <n v="625"/>
    <n v="0"/>
    <n v="42"/>
    <n v="667"/>
  </r>
  <r>
    <x v="12"/>
    <x v="67"/>
    <n v="30"/>
    <n v="60"/>
    <n v="35.321428571428569"/>
    <n v="120"/>
    <n v="50"/>
    <n v="0"/>
    <n v="0"/>
    <n v="0"/>
    <n v="70"/>
    <n v="0.58330000000000004"/>
    <n v="0.58333333333333337"/>
    <n v="2225"/>
    <n v="0"/>
    <n v="247.5"/>
    <n v="2472.5"/>
  </r>
  <r>
    <x v="12"/>
    <x v="68"/>
    <n v="60"/>
    <n v="70"/>
    <n v="57.888461538461542"/>
    <n v="120"/>
    <n v="55"/>
    <n v="0"/>
    <n v="0"/>
    <n v="0"/>
    <n v="65"/>
    <n v="0.54169999999999996"/>
    <n v="0.54166666666666663"/>
    <n v="3567"/>
    <n v="0"/>
    <n v="195.75"/>
    <n v="3762.75"/>
  </r>
  <r>
    <x v="12"/>
    <x v="69"/>
    <n v="60"/>
    <n v="70"/>
    <n v="58.677777777777777"/>
    <n v="120"/>
    <n v="75"/>
    <n v="0"/>
    <n v="0"/>
    <n v="0"/>
    <n v="45"/>
    <n v="0.375"/>
    <n v="0.375"/>
    <n v="2510"/>
    <n v="0"/>
    <n v="130.5"/>
    <n v="2640.5"/>
  </r>
  <r>
    <x v="12"/>
    <x v="70"/>
    <n v="39"/>
    <n v="60"/>
    <n v="34.565217391304351"/>
    <n v="120"/>
    <n v="97"/>
    <n v="0"/>
    <n v="0"/>
    <n v="0"/>
    <n v="23"/>
    <n v="0.19170000000000001"/>
    <n v="0.19166666666666668"/>
    <n v="723"/>
    <n v="0"/>
    <n v="72"/>
    <n v="795"/>
  </r>
  <r>
    <x v="12"/>
    <x v="71"/>
    <n v="30"/>
    <n v="60"/>
    <n v="37.626666666666665"/>
    <n v="120"/>
    <n v="45"/>
    <n v="0"/>
    <n v="0"/>
    <n v="0"/>
    <n v="75"/>
    <n v="0.625"/>
    <n v="0.625"/>
    <n v="2615"/>
    <n v="0"/>
    <n v="207"/>
    <n v="2822"/>
  </r>
  <r>
    <x v="12"/>
    <x v="72"/>
    <n v="60"/>
    <n v="70"/>
    <n v="51.604651162790695"/>
    <n v="120"/>
    <n v="77"/>
    <n v="0"/>
    <n v="0"/>
    <n v="0"/>
    <n v="43"/>
    <n v="0.35830000000000001"/>
    <n v="0.35833333333333334"/>
    <n v="2120"/>
    <n v="0"/>
    <n v="99"/>
    <n v="2219"/>
  </r>
  <r>
    <x v="12"/>
    <x v="73"/>
    <n v="60"/>
    <n v="70"/>
    <n v="56.034722222222221"/>
    <n v="120"/>
    <n v="48"/>
    <n v="0"/>
    <n v="0"/>
    <n v="0"/>
    <n v="72"/>
    <n v="0.6"/>
    <n v="0.6"/>
    <n v="3850"/>
    <n v="0"/>
    <n v="184.5"/>
    <n v="4034.5"/>
  </r>
  <r>
    <x v="12"/>
    <x v="74"/>
    <n v="60"/>
    <n v="70"/>
    <n v="56.890909090909091"/>
    <n v="120"/>
    <n v="65"/>
    <n v="0"/>
    <n v="0"/>
    <n v="0"/>
    <n v="55"/>
    <n v="0.45829999999999999"/>
    <n v="0.45833333333333331"/>
    <n v="3030"/>
    <n v="0"/>
    <n v="99"/>
    <n v="3129"/>
  </r>
  <r>
    <x v="12"/>
    <x v="75"/>
    <n v="30"/>
    <n v="60"/>
    <n v="26.55263157894737"/>
    <n v="120"/>
    <n v="63"/>
    <n v="0"/>
    <n v="0"/>
    <n v="0"/>
    <n v="57"/>
    <n v="0.47499999999999998"/>
    <n v="0.47499999999999998"/>
    <n v="1410"/>
    <n v="0"/>
    <n v="103.5"/>
    <n v="1513.5"/>
  </r>
  <r>
    <x v="12"/>
    <x v="76"/>
    <n v="60"/>
    <n v="70"/>
    <n v="27.258064516129032"/>
    <n v="120"/>
    <n v="89"/>
    <n v="0"/>
    <n v="0"/>
    <n v="0"/>
    <n v="31"/>
    <n v="0.25829999999999997"/>
    <n v="0.25833333333333336"/>
    <n v="800"/>
    <n v="0"/>
    <n v="45"/>
    <n v="845"/>
  </r>
  <r>
    <x v="12"/>
    <x v="77"/>
    <n v="60"/>
    <n v="70"/>
    <n v="31.941666666666666"/>
    <n v="120"/>
    <n v="60"/>
    <n v="0"/>
    <n v="0"/>
    <n v="0"/>
    <n v="60"/>
    <n v="0.5"/>
    <n v="0.5"/>
    <n v="1840"/>
    <n v="0"/>
    <n v="76.5"/>
    <n v="1916.5"/>
  </r>
  <r>
    <x v="13"/>
    <x v="78"/>
    <n v="60"/>
    <n v="70"/>
    <n v="62.393333333333331"/>
    <n v="120"/>
    <n v="45"/>
    <n v="0"/>
    <n v="0"/>
    <n v="0"/>
    <n v="75"/>
    <n v="0.625"/>
    <n v="0.625"/>
    <n v="4450"/>
    <n v="0"/>
    <n v="229.5"/>
    <n v="4679.5"/>
  </r>
  <r>
    <x v="13"/>
    <x v="79"/>
    <n v="60"/>
    <n v="70"/>
    <n v="65.389610389610397"/>
    <n v="120"/>
    <n v="43"/>
    <n v="0"/>
    <n v="0"/>
    <n v="0"/>
    <n v="77"/>
    <n v="0.64170000000000005"/>
    <n v="0.64166666666666672"/>
    <n v="4810"/>
    <n v="0"/>
    <n v="225"/>
    <n v="5035"/>
  </r>
  <r>
    <x v="14"/>
    <x v="80"/>
    <n v="30"/>
    <n v="40"/>
    <n v="35.333333333333336"/>
    <n v="120"/>
    <n v="78"/>
    <n v="0"/>
    <n v="0"/>
    <n v="0"/>
    <n v="42"/>
    <n v="0.35"/>
    <n v="0.35"/>
    <n v="1340"/>
    <n v="0"/>
    <n v="144"/>
    <n v="1484"/>
  </r>
  <r>
    <x v="14"/>
    <x v="81"/>
    <n v="30"/>
    <n v="40"/>
    <n v="31.287878787878789"/>
    <n v="120"/>
    <n v="87"/>
    <n v="0"/>
    <n v="0"/>
    <n v="0"/>
    <n v="33"/>
    <n v="0.27500000000000002"/>
    <n v="0.27500000000000002"/>
    <n v="920"/>
    <n v="0"/>
    <n v="112.5"/>
    <n v="1032.5"/>
  </r>
  <r>
    <x v="14"/>
    <x v="82"/>
    <n v="30"/>
    <n v="40"/>
    <n v="33.508928571428569"/>
    <n v="120"/>
    <n v="64"/>
    <n v="0"/>
    <n v="0"/>
    <n v="0"/>
    <n v="56"/>
    <n v="0.4667"/>
    <n v="0.46666666666666667"/>
    <n v="1710"/>
    <n v="0"/>
    <n v="166.5"/>
    <n v="1876.5"/>
  </r>
  <r>
    <x v="14"/>
    <x v="83"/>
    <n v="30"/>
    <n v="40"/>
    <n v="32.981818181818184"/>
    <n v="120"/>
    <n v="65"/>
    <n v="0"/>
    <n v="0"/>
    <n v="0"/>
    <n v="55"/>
    <n v="0.45829999999999999"/>
    <n v="0.45833333333333331"/>
    <n v="1670"/>
    <n v="0"/>
    <n v="144"/>
    <n v="1814"/>
  </r>
  <r>
    <x v="14"/>
    <x v="84"/>
    <n v="30"/>
    <n v="40"/>
    <n v="32.254901960784316"/>
    <n v="120"/>
    <n v="69"/>
    <n v="0"/>
    <n v="0"/>
    <n v="0"/>
    <n v="51"/>
    <n v="0.42499999999999999"/>
    <n v="0.42499999999999999"/>
    <n v="1510"/>
    <n v="0"/>
    <n v="135"/>
    <n v="1645"/>
  </r>
  <r>
    <x v="14"/>
    <x v="85"/>
    <n v="30"/>
    <n v="40"/>
    <n v="33.630000000000003"/>
    <n v="120"/>
    <n v="70"/>
    <n v="0"/>
    <n v="0"/>
    <n v="0"/>
    <n v="50"/>
    <n v="0.41670000000000001"/>
    <n v="0.41666666666666669"/>
    <n v="1560"/>
    <n v="0"/>
    <n v="121.5"/>
    <n v="1681.5"/>
  </r>
  <r>
    <x v="14"/>
    <x v="86"/>
    <n v="30"/>
    <n v="40"/>
    <n v="29.307228915662652"/>
    <n v="120"/>
    <n v="37"/>
    <n v="0"/>
    <n v="0"/>
    <n v="0"/>
    <n v="83"/>
    <n v="0.69169999999999998"/>
    <n v="0.69166666666666665"/>
    <n v="2230"/>
    <n v="0"/>
    <n v="202.5"/>
    <n v="2432.5"/>
  </r>
  <r>
    <x v="15"/>
    <x v="87"/>
    <n v="95"/>
    <n v="125"/>
    <n v="71.222222222222229"/>
    <n v="120"/>
    <n v="30"/>
    <n v="0"/>
    <n v="0"/>
    <n v="0"/>
    <n v="90"/>
    <n v="0.75"/>
    <n v="0.75"/>
    <n v="6230"/>
    <n v="0"/>
    <n v="180"/>
    <n v="6410"/>
  </r>
  <r>
    <x v="15"/>
    <x v="88"/>
    <n v="95"/>
    <n v="125"/>
    <n v="62.982558139534881"/>
    <n v="120"/>
    <n v="34"/>
    <n v="0"/>
    <n v="0"/>
    <n v="0"/>
    <n v="86"/>
    <n v="0.7167"/>
    <n v="0.71666666666666667"/>
    <n v="5205"/>
    <n v="0"/>
    <n v="211.5"/>
    <n v="5416.5"/>
  </r>
  <r>
    <x v="16"/>
    <x v="89"/>
    <n v="10"/>
    <n v="22"/>
    <n v="20.26896551724138"/>
    <n v="152"/>
    <n v="7"/>
    <n v="0"/>
    <n v="0"/>
    <n v="0"/>
    <n v="145"/>
    <n v="0.95389999999999997"/>
    <n v="1.2083333333333333"/>
    <n v="2614"/>
    <n v="0"/>
    <n v="325"/>
    <n v="2939"/>
  </r>
  <r>
    <x v="16"/>
    <x v="90"/>
    <n v="10"/>
    <n v="22"/>
    <n v="20.98046875"/>
    <n v="152"/>
    <n v="24"/>
    <n v="0"/>
    <n v="0"/>
    <n v="0"/>
    <n v="128"/>
    <n v="0.84209999999999996"/>
    <n v="1.0666666666666667"/>
    <n v="2408"/>
    <n v="0"/>
    <n v="277.5"/>
    <n v="2685.5"/>
  </r>
  <r>
    <x v="16"/>
    <x v="91"/>
    <n v="10"/>
    <n v="22"/>
    <n v="21.28448275862069"/>
    <n v="152"/>
    <n v="36"/>
    <n v="0"/>
    <n v="0"/>
    <n v="0"/>
    <n v="116"/>
    <n v="0.76319999999999999"/>
    <n v="0.96666666666666667"/>
    <n v="2264"/>
    <n v="0"/>
    <n v="205"/>
    <n v="2469"/>
  </r>
  <r>
    <x v="16"/>
    <x v="92"/>
    <n v="10"/>
    <n v="22"/>
    <n v="20.86513157894737"/>
    <n v="152"/>
    <n v="0"/>
    <n v="0"/>
    <n v="0"/>
    <n v="0"/>
    <n v="152"/>
    <n v="1"/>
    <n v="1.2666666666666666"/>
    <n v="2804"/>
    <n v="0"/>
    <n v="367.5"/>
    <n v="3171.5"/>
  </r>
  <r>
    <x v="17"/>
    <x v="93"/>
    <n v="0"/>
    <n v="0"/>
    <n v="0"/>
    <n v="120"/>
    <n v="109"/>
    <n v="0"/>
    <n v="0"/>
    <n v="0"/>
    <n v="11"/>
    <n v="9.1700000000000004E-2"/>
    <n v="9.166666666666666E-2"/>
    <n v="0"/>
    <n v="0"/>
    <n v="0"/>
    <n v="0"/>
  </r>
  <r>
    <x v="18"/>
    <x v="94"/>
    <n v="20"/>
    <n v="20"/>
    <n v="16.214285714285715"/>
    <n v="120"/>
    <n v="106"/>
    <n v="0"/>
    <n v="0"/>
    <n v="0"/>
    <n v="14"/>
    <n v="0.1167"/>
    <n v="0.11666666666666667"/>
    <n v="200"/>
    <n v="0"/>
    <n v="27"/>
    <n v="227"/>
  </r>
  <r>
    <x v="18"/>
    <x v="95"/>
    <n v="20"/>
    <n v="20"/>
    <n v="16.407407407407408"/>
    <n v="120"/>
    <n v="93"/>
    <n v="0"/>
    <n v="0"/>
    <n v="0"/>
    <n v="27"/>
    <n v="0.22500000000000001"/>
    <n v="0.22500000000000001"/>
    <n v="380"/>
    <n v="0"/>
    <n v="63"/>
    <n v="443"/>
  </r>
  <r>
    <x v="19"/>
    <x v="96"/>
    <n v="10"/>
    <n v="55"/>
    <n v="23.448275862068964"/>
    <n v="136"/>
    <n v="20"/>
    <n v="0"/>
    <n v="0"/>
    <n v="0"/>
    <n v="116"/>
    <n v="0.85289999999999999"/>
    <n v="0.96666666666666667"/>
    <n v="2490"/>
    <n v="0"/>
    <n v="230"/>
    <n v="2720"/>
  </r>
  <r>
    <x v="19"/>
    <x v="97"/>
    <n v="10"/>
    <n v="55"/>
    <n v="10.912087912087912"/>
    <n v="120"/>
    <n v="29"/>
    <n v="0"/>
    <n v="0"/>
    <n v="0"/>
    <n v="91"/>
    <n v="0.75829999999999997"/>
    <n v="0.7583333333333333"/>
    <n v="913"/>
    <n v="0"/>
    <n v="80"/>
    <n v="993"/>
  </r>
  <r>
    <x v="19"/>
    <x v="98"/>
    <n v="18"/>
    <n v="23"/>
    <n v="19.76896551724138"/>
    <n v="153"/>
    <n v="8"/>
    <n v="0"/>
    <n v="0"/>
    <n v="0"/>
    <n v="145"/>
    <n v="0.94769999999999999"/>
    <n v="1.2083333333333333"/>
    <n v="2669"/>
    <n v="0"/>
    <n v="197.5"/>
    <n v="2866.5"/>
  </r>
  <r>
    <x v="20"/>
    <x v="99"/>
    <n v="10"/>
    <n v="55"/>
    <n v="51.592592592592595"/>
    <n v="136"/>
    <n v="28"/>
    <n v="0"/>
    <n v="0"/>
    <n v="0"/>
    <n v="108"/>
    <n v="0.79410000000000003"/>
    <n v="0.9"/>
    <n v="5372"/>
    <n v="0"/>
    <n v="200"/>
    <n v="5572"/>
  </r>
  <r>
    <x v="20"/>
    <x v="100"/>
    <n v="10"/>
    <n v="55"/>
    <n v="8.5576923076923084"/>
    <n v="120"/>
    <n v="42"/>
    <n v="0"/>
    <n v="0"/>
    <n v="0"/>
    <n v="78"/>
    <n v="0.65"/>
    <n v="0.65"/>
    <n v="560"/>
    <n v="0"/>
    <n v="107.5"/>
    <n v="667.5"/>
  </r>
  <r>
    <x v="20"/>
    <x v="101"/>
    <n v="10"/>
    <n v="55"/>
    <n v="20.061224489795919"/>
    <n v="120"/>
    <n v="71"/>
    <n v="0"/>
    <n v="0"/>
    <n v="0"/>
    <n v="49"/>
    <n v="0.4083"/>
    <n v="0.40833333333333333"/>
    <n v="913"/>
    <n v="0"/>
    <n v="70"/>
    <n v="983"/>
  </r>
  <r>
    <x v="20"/>
    <x v="102"/>
    <n v="10"/>
    <n v="55"/>
    <n v="23.658536585365855"/>
    <n v="120"/>
    <n v="79"/>
    <n v="0"/>
    <n v="0"/>
    <n v="0"/>
    <n v="41"/>
    <n v="0.3417"/>
    <n v="0.34166666666666667"/>
    <n v="910"/>
    <n v="0"/>
    <n v="60"/>
    <n v="970"/>
  </r>
  <r>
    <x v="20"/>
    <x v="103"/>
    <n v="10"/>
    <n v="55"/>
    <n v="20.649572649572651"/>
    <n v="136"/>
    <n v="19"/>
    <n v="0"/>
    <n v="0"/>
    <n v="0"/>
    <n v="117"/>
    <n v="0.86029999999999995"/>
    <n v="0.97499999999999998"/>
    <n v="2241"/>
    <n v="0"/>
    <n v="175"/>
    <n v="2416"/>
  </r>
  <r>
    <x v="21"/>
    <x v="104"/>
    <n v="60"/>
    <n v="70"/>
    <n v="61.454545454545453"/>
    <n v="120"/>
    <n v="32"/>
    <n v="0"/>
    <n v="0"/>
    <n v="0"/>
    <n v="88"/>
    <n v="0.73329999999999995"/>
    <n v="0.73333333333333328"/>
    <n v="5120"/>
    <n v="0"/>
    <n v="288"/>
    <n v="5408"/>
  </r>
  <r>
    <x v="21"/>
    <x v="105"/>
    <n v="60"/>
    <n v="70"/>
    <n v="27.112903225806452"/>
    <n v="120"/>
    <n v="58"/>
    <n v="0"/>
    <n v="0"/>
    <n v="0"/>
    <n v="62"/>
    <n v="0.51670000000000005"/>
    <n v="0.51666666666666672"/>
    <n v="1600"/>
    <n v="0"/>
    <n v="81"/>
    <n v="1681"/>
  </r>
  <r>
    <x v="21"/>
    <x v="106"/>
    <n v="60"/>
    <n v="70"/>
    <n v="57.633333333333333"/>
    <n v="120"/>
    <n v="60"/>
    <n v="0"/>
    <n v="0"/>
    <n v="0"/>
    <n v="60"/>
    <n v="0.5"/>
    <n v="0.5"/>
    <n v="3260"/>
    <n v="0"/>
    <n v="198"/>
    <n v="3458"/>
  </r>
  <r>
    <x v="21"/>
    <x v="107"/>
    <n v="60"/>
    <n v="70"/>
    <n v="51.572580645161288"/>
    <n v="120"/>
    <n v="58"/>
    <n v="0"/>
    <n v="0"/>
    <n v="0"/>
    <n v="62"/>
    <n v="0.51670000000000005"/>
    <n v="0.51666666666666672"/>
    <n v="3040"/>
    <n v="0"/>
    <n v="157.5"/>
    <n v="3197.5"/>
  </r>
  <r>
    <x v="21"/>
    <x v="108"/>
    <n v="60"/>
    <n v="70"/>
    <n v="51.265822784810126"/>
    <n v="120"/>
    <n v="41"/>
    <n v="0"/>
    <n v="0"/>
    <n v="0"/>
    <n v="79"/>
    <n v="0.6583"/>
    <n v="0.65833333333333333"/>
    <n v="3870"/>
    <n v="0"/>
    <n v="180"/>
    <n v="4050"/>
  </r>
  <r>
    <x v="21"/>
    <x v="109"/>
    <n v="60"/>
    <n v="70"/>
    <n v="56.746376811594203"/>
    <n v="120"/>
    <n v="51"/>
    <n v="0"/>
    <n v="0"/>
    <n v="0"/>
    <n v="69"/>
    <n v="0.57499999999999996"/>
    <n v="0.57499999999999996"/>
    <n v="3740"/>
    <n v="0"/>
    <n v="175.5"/>
    <n v="3915.5"/>
  </r>
  <r>
    <x v="21"/>
    <x v="110"/>
    <n v="60"/>
    <n v="70"/>
    <n v="52.645299145299148"/>
    <n v="120"/>
    <n v="3"/>
    <n v="0"/>
    <n v="0"/>
    <n v="0"/>
    <n v="117"/>
    <n v="0.97499999999999998"/>
    <n v="0.97499999999999998"/>
    <n v="5840"/>
    <n v="0"/>
    <n v="319.5"/>
    <n v="6159.5"/>
  </r>
  <r>
    <x v="21"/>
    <x v="111"/>
    <n v="60"/>
    <n v="70"/>
    <n v="57.798165137614681"/>
    <n v="120"/>
    <n v="11"/>
    <n v="0"/>
    <n v="0"/>
    <n v="0"/>
    <n v="109"/>
    <n v="0.9083"/>
    <n v="0.90833333333333333"/>
    <n v="6030"/>
    <n v="0"/>
    <n v="270"/>
    <n v="6300"/>
  </r>
  <r>
    <x v="21"/>
    <x v="112"/>
    <n v="60"/>
    <n v="70"/>
    <n v="60.005050505050505"/>
    <n v="120"/>
    <n v="21"/>
    <n v="0"/>
    <n v="0"/>
    <n v="0"/>
    <n v="99"/>
    <n v="0.82499999999999996"/>
    <n v="0.82499999999999996"/>
    <n v="5630"/>
    <n v="0"/>
    <n v="310.5"/>
    <n v="5940.5"/>
  </r>
  <r>
    <x v="21"/>
    <x v="113"/>
    <n v="60"/>
    <n v="70"/>
    <n v="56.135922330097088"/>
    <n v="120"/>
    <n v="17"/>
    <n v="0"/>
    <n v="0"/>
    <n v="0"/>
    <n v="103"/>
    <n v="0.85829999999999995"/>
    <n v="0.85833333333333328"/>
    <n v="5530"/>
    <n v="0"/>
    <n v="252"/>
    <n v="5782"/>
  </r>
  <r>
    <x v="21"/>
    <x v="114"/>
    <n v="60"/>
    <n v="70"/>
    <n v="56.238888888888887"/>
    <n v="120"/>
    <n v="30"/>
    <n v="0"/>
    <n v="0"/>
    <n v="0"/>
    <n v="90"/>
    <n v="0.75"/>
    <n v="0.75"/>
    <n v="4760"/>
    <n v="0"/>
    <n v="301.5"/>
    <n v="5061.5"/>
  </r>
  <r>
    <x v="22"/>
    <x v="115"/>
    <n v="5"/>
    <n v="25"/>
    <n v="11.326530612244898"/>
    <n v="120"/>
    <n v="71"/>
    <n v="0"/>
    <n v="0"/>
    <n v="0"/>
    <n v="49"/>
    <n v="0.4083"/>
    <n v="0.40833333333333333"/>
    <n v="545"/>
    <n v="0"/>
    <n v="10"/>
    <n v="555"/>
  </r>
  <r>
    <x v="22"/>
    <x v="116"/>
    <n v="5"/>
    <n v="25"/>
    <n v="11.618181818181819"/>
    <n v="120"/>
    <n v="65"/>
    <n v="0"/>
    <n v="0"/>
    <n v="0"/>
    <n v="55"/>
    <n v="0.45829999999999999"/>
    <n v="0.45833333333333331"/>
    <n v="605"/>
    <n v="0"/>
    <n v="34"/>
    <n v="639"/>
  </r>
  <r>
    <x v="23"/>
    <x v="117"/>
    <n v="5"/>
    <n v="20"/>
    <n v="9.8181818181818183"/>
    <n v="120"/>
    <n v="98"/>
    <n v="0"/>
    <n v="0"/>
    <n v="0"/>
    <n v="22"/>
    <n v="0.18329999999999999"/>
    <n v="0.18333333333333332"/>
    <n v="210"/>
    <n v="0"/>
    <n v="6"/>
    <n v="216"/>
  </r>
  <r>
    <x v="23"/>
    <x v="118"/>
    <n v="5"/>
    <n v="20"/>
    <n v="10.395833333333334"/>
    <n v="120"/>
    <n v="72"/>
    <n v="0"/>
    <n v="0"/>
    <n v="0"/>
    <n v="48"/>
    <n v="0.4"/>
    <n v="0.4"/>
    <n v="485"/>
    <n v="0"/>
    <n v="14"/>
    <n v="499"/>
  </r>
  <r>
    <x v="24"/>
    <x v="119"/>
    <n v="20"/>
    <n v="20"/>
    <n v="20.658536585365855"/>
    <n v="150"/>
    <n v="27"/>
    <n v="0"/>
    <n v="0"/>
    <n v="0"/>
    <n v="123"/>
    <n v="0.82"/>
    <n v="1.0249999999999999"/>
    <n v="2395"/>
    <n v="0"/>
    <n v="146"/>
    <n v="2541"/>
  </r>
  <r>
    <x v="25"/>
    <x v="120"/>
    <n v="60"/>
    <n v="70"/>
    <n v="57.141176470588235"/>
    <n v="120"/>
    <n v="35"/>
    <n v="0"/>
    <n v="0"/>
    <n v="0"/>
    <n v="85"/>
    <n v="0.70830000000000004"/>
    <n v="0.70833333333333337"/>
    <n v="4650"/>
    <n v="0"/>
    <n v="207"/>
    <n v="4857"/>
  </r>
  <r>
    <x v="25"/>
    <x v="121"/>
    <n v="60"/>
    <n v="70"/>
    <n v="57.629411764705885"/>
    <n v="120"/>
    <n v="35"/>
    <n v="0"/>
    <n v="0"/>
    <n v="0"/>
    <n v="85"/>
    <n v="0.70830000000000004"/>
    <n v="0.70833333333333337"/>
    <n v="4660"/>
    <n v="0"/>
    <n v="238.5"/>
    <n v="4898.5"/>
  </r>
  <r>
    <x v="25"/>
    <x v="122"/>
    <n v="60"/>
    <n v="70"/>
    <n v="63.24647887323944"/>
    <n v="120"/>
    <n v="49"/>
    <n v="0"/>
    <n v="0"/>
    <n v="0"/>
    <n v="71"/>
    <n v="0.5917"/>
    <n v="0.59166666666666667"/>
    <n v="4270"/>
    <n v="0"/>
    <n v="220.5"/>
    <n v="4490.5"/>
  </r>
  <r>
    <x v="25"/>
    <x v="123"/>
    <n v="60"/>
    <n v="70"/>
    <n v="45.563492063492063"/>
    <n v="120"/>
    <n v="57"/>
    <n v="0"/>
    <n v="0"/>
    <n v="0"/>
    <n v="63"/>
    <n v="0.52500000000000002"/>
    <n v="0.52500000000000002"/>
    <n v="2740"/>
    <n v="0"/>
    <n v="130.5"/>
    <n v="2870.5"/>
  </r>
  <r>
    <x v="25"/>
    <x v="124"/>
    <n v="60"/>
    <n v="70"/>
    <n v="56.405660377358494"/>
    <n v="120"/>
    <n v="67"/>
    <n v="0"/>
    <n v="0"/>
    <n v="0"/>
    <n v="53"/>
    <n v="0.44169999999999998"/>
    <n v="0.44166666666666665"/>
    <n v="2850"/>
    <n v="0"/>
    <n v="139.5"/>
    <n v="2989.5"/>
  </r>
  <r>
    <x v="25"/>
    <x v="125"/>
    <n v="60"/>
    <n v="70"/>
    <n v="51.792857142857144"/>
    <n v="120"/>
    <n v="50"/>
    <n v="0"/>
    <n v="0"/>
    <n v="0"/>
    <n v="70"/>
    <n v="0.58330000000000004"/>
    <n v="0.58333333333333337"/>
    <n v="3450"/>
    <n v="0"/>
    <n v="175.5"/>
    <n v="3625.5"/>
  </r>
  <r>
    <x v="25"/>
    <x v="126"/>
    <n v="60"/>
    <n v="70"/>
    <n v="52.444444444444443"/>
    <n v="120"/>
    <n v="75"/>
    <n v="0"/>
    <n v="0"/>
    <n v="0"/>
    <n v="45"/>
    <n v="0.375"/>
    <n v="0.375"/>
    <n v="2270"/>
    <n v="0"/>
    <n v="90"/>
    <n v="2360"/>
  </r>
  <r>
    <x v="25"/>
    <x v="127"/>
    <n v="60"/>
    <n v="70"/>
    <n v="62"/>
    <n v="120"/>
    <n v="59"/>
    <n v="0"/>
    <n v="0"/>
    <n v="0"/>
    <n v="61"/>
    <n v="0.50829999999999997"/>
    <n v="0.5083333333333333"/>
    <n v="3620"/>
    <n v="0"/>
    <n v="162"/>
    <n v="3782"/>
  </r>
  <r>
    <x v="25"/>
    <x v="128"/>
    <n v="60"/>
    <n v="70"/>
    <n v="52.833333333333336"/>
    <n v="120"/>
    <n v="72"/>
    <n v="0"/>
    <n v="0"/>
    <n v="0"/>
    <n v="48"/>
    <n v="0.4"/>
    <n v="0.4"/>
    <n v="2410"/>
    <n v="0"/>
    <n v="126"/>
    <n v="2536"/>
  </r>
  <r>
    <x v="25"/>
    <x v="129"/>
    <n v="60"/>
    <n v="70"/>
    <n v="41.316091954022987"/>
    <n v="120"/>
    <n v="33"/>
    <n v="0"/>
    <n v="0"/>
    <n v="0"/>
    <n v="87"/>
    <n v="0.72499999999999998"/>
    <n v="0.72499999999999998"/>
    <n v="3410"/>
    <n v="0"/>
    <n v="184.5"/>
    <n v="3594.5"/>
  </r>
  <r>
    <x v="25"/>
    <x v="130"/>
    <n v="60"/>
    <n v="70"/>
    <n v="60.402985074626862"/>
    <n v="120"/>
    <n v="53"/>
    <n v="0"/>
    <n v="0"/>
    <n v="0"/>
    <n v="67"/>
    <n v="0.55830000000000002"/>
    <n v="0.55833333333333335"/>
    <n v="3840"/>
    <n v="0"/>
    <n v="207"/>
    <n v="4047"/>
  </r>
  <r>
    <x v="25"/>
    <x v="131"/>
    <n v="60"/>
    <n v="70"/>
    <n v="61.515151515151516"/>
    <n v="120"/>
    <n v="54"/>
    <n v="0"/>
    <n v="0"/>
    <n v="0"/>
    <n v="66"/>
    <n v="0.55000000000000004"/>
    <n v="0.55000000000000004"/>
    <n v="3880"/>
    <n v="0"/>
    <n v="180"/>
    <n v="4060"/>
  </r>
  <r>
    <x v="25"/>
    <x v="132"/>
    <n v="60"/>
    <n v="70"/>
    <n v="53.841463414634148"/>
    <n v="120"/>
    <n v="38"/>
    <n v="0"/>
    <n v="0"/>
    <n v="0"/>
    <n v="82"/>
    <n v="0.68330000000000002"/>
    <n v="0.68333333333333335"/>
    <n v="4190"/>
    <n v="0"/>
    <n v="225"/>
    <n v="4415"/>
  </r>
  <r>
    <x v="25"/>
    <x v="133"/>
    <n v="60"/>
    <n v="70"/>
    <n v="55.059782608695649"/>
    <n v="120"/>
    <n v="28"/>
    <n v="0"/>
    <n v="0"/>
    <n v="0"/>
    <n v="92"/>
    <n v="0.76670000000000005"/>
    <n v="0.76666666666666672"/>
    <n v="4800"/>
    <n v="0"/>
    <n v="265.5"/>
    <n v="5065.5"/>
  </r>
  <r>
    <x v="25"/>
    <x v="134"/>
    <n v="60"/>
    <n v="70"/>
    <n v="56.340659340659343"/>
    <n v="120"/>
    <n v="29"/>
    <n v="0"/>
    <n v="0"/>
    <n v="0"/>
    <n v="91"/>
    <n v="0.75829999999999997"/>
    <n v="0.7583333333333333"/>
    <n v="4875"/>
    <n v="0"/>
    <n v="252"/>
    <n v="5127"/>
  </r>
  <r>
    <x v="25"/>
    <x v="135"/>
    <n v="60"/>
    <n v="70"/>
    <n v="54.774509803921568"/>
    <n v="120"/>
    <n v="18"/>
    <n v="0"/>
    <n v="0"/>
    <n v="0"/>
    <n v="102"/>
    <n v="0.85"/>
    <n v="0.85"/>
    <n v="5380"/>
    <n v="0"/>
    <n v="207"/>
    <n v="5587"/>
  </r>
  <r>
    <x v="25"/>
    <x v="136"/>
    <n v="60"/>
    <n v="70"/>
    <n v="46.371212121212125"/>
    <n v="136"/>
    <n v="4"/>
    <n v="0"/>
    <n v="0"/>
    <n v="0"/>
    <n v="132"/>
    <n v="0.97060000000000002"/>
    <n v="1.1000000000000001"/>
    <n v="5770"/>
    <n v="0"/>
    <n v="351"/>
    <n v="6121"/>
  </r>
  <r>
    <x v="26"/>
    <x v="137"/>
    <n v="250"/>
    <n v="250"/>
    <n v="30.701754385964911"/>
    <n v="152"/>
    <n v="38"/>
    <n v="0"/>
    <n v="0"/>
    <n v="0"/>
    <n v="114"/>
    <n v="0.75"/>
    <n v="0.95"/>
    <n v="3500"/>
    <n v="0"/>
    <n v="0"/>
    <n v="3500"/>
  </r>
  <r>
    <x v="27"/>
    <x v="138"/>
    <n v="30"/>
    <n v="70"/>
    <n v="6.867924528301887"/>
    <n v="120"/>
    <n v="67"/>
    <n v="0"/>
    <n v="0"/>
    <n v="0"/>
    <n v="53"/>
    <n v="0.44169999999999998"/>
    <n v="0.44166666666666665"/>
    <n v="355"/>
    <n v="0"/>
    <n v="9"/>
    <n v="364"/>
  </r>
  <r>
    <x v="27"/>
    <x v="139"/>
    <n v="30"/>
    <n v="70"/>
    <n v="47.661290322580648"/>
    <n v="120"/>
    <n v="89"/>
    <n v="0"/>
    <n v="0"/>
    <n v="0"/>
    <n v="31"/>
    <n v="0.25829999999999997"/>
    <n v="0.25833333333333336"/>
    <n v="1410"/>
    <n v="0"/>
    <n v="67.5"/>
    <n v="1477.5"/>
  </r>
  <r>
    <x v="27"/>
    <x v="140"/>
    <n v="30"/>
    <n v="70"/>
    <n v="62.207317073170735"/>
    <n v="120"/>
    <n v="79"/>
    <n v="0"/>
    <n v="0"/>
    <n v="0"/>
    <n v="41"/>
    <n v="0.3417"/>
    <n v="0.34166666666666667"/>
    <n v="2420"/>
    <n v="0"/>
    <n v="130.5"/>
    <n v="2550.5"/>
  </r>
  <r>
    <x v="27"/>
    <x v="141"/>
    <n v="30"/>
    <n v="70"/>
    <n v="43.308823529411768"/>
    <n v="120"/>
    <n v="86"/>
    <n v="0"/>
    <n v="0"/>
    <n v="0"/>
    <n v="34"/>
    <n v="0.2833"/>
    <n v="0.28333333333333333"/>
    <n v="1405"/>
    <n v="0"/>
    <n v="67.5"/>
    <n v="1472.5"/>
  </r>
  <r>
    <x v="27"/>
    <x v="142"/>
    <n v="30"/>
    <n v="70"/>
    <n v="51.051282051282051"/>
    <n v="120"/>
    <n v="81"/>
    <n v="0"/>
    <n v="0"/>
    <n v="0"/>
    <n v="39"/>
    <n v="0.32500000000000001"/>
    <n v="0.32500000000000001"/>
    <n v="1910"/>
    <n v="0"/>
    <n v="81"/>
    <n v="1991"/>
  </r>
  <r>
    <x v="27"/>
    <x v="143"/>
    <n v="30"/>
    <n v="70"/>
    <n v="53.315217391304351"/>
    <n v="120"/>
    <n v="74"/>
    <n v="0"/>
    <n v="0"/>
    <n v="0"/>
    <n v="46"/>
    <n v="0.38329999999999997"/>
    <n v="0.38333333333333336"/>
    <n v="2340"/>
    <n v="0"/>
    <n v="112.5"/>
    <n v="2452.5"/>
  </r>
  <r>
    <x v="27"/>
    <x v="144"/>
    <n v="30"/>
    <n v="70"/>
    <n v="39.589743589743591"/>
    <n v="120"/>
    <n v="81"/>
    <n v="0"/>
    <n v="0"/>
    <n v="0"/>
    <n v="39"/>
    <n v="0.32500000000000001"/>
    <n v="0.32500000000000001"/>
    <n v="1490"/>
    <n v="0"/>
    <n v="54"/>
    <n v="1544"/>
  </r>
  <r>
    <x v="27"/>
    <x v="145"/>
    <n v="30"/>
    <n v="70"/>
    <n v="21.777777777777779"/>
    <n v="120"/>
    <n v="93"/>
    <n v="0"/>
    <n v="0"/>
    <n v="0"/>
    <n v="27"/>
    <n v="0.22500000000000001"/>
    <n v="0.22500000000000001"/>
    <n v="570"/>
    <n v="0"/>
    <n v="18"/>
    <n v="588"/>
  </r>
  <r>
    <x v="27"/>
    <x v="146"/>
    <n v="30"/>
    <n v="70"/>
    <n v="49.801470588235297"/>
    <n v="119"/>
    <n v="51"/>
    <n v="0"/>
    <n v="0"/>
    <n v="0"/>
    <n v="68"/>
    <n v="0.57140000000000002"/>
    <n v="0.56666666666666665"/>
    <n v="3310"/>
    <n v="0"/>
    <n v="76.5"/>
    <n v="3386.5"/>
  </r>
  <r>
    <x v="27"/>
    <x v="147"/>
    <n v="30"/>
    <n v="70"/>
    <n v="42.272727272727273"/>
    <n v="120"/>
    <n v="87"/>
    <n v="0"/>
    <n v="0"/>
    <n v="0"/>
    <n v="33"/>
    <n v="0.27500000000000002"/>
    <n v="0.27500000000000002"/>
    <n v="1350"/>
    <n v="0"/>
    <n v="45"/>
    <n v="1395"/>
  </r>
  <r>
    <x v="27"/>
    <x v="148"/>
    <n v="30"/>
    <n v="70"/>
    <n v="33.166666666666664"/>
    <n v="120"/>
    <n v="96"/>
    <n v="0"/>
    <n v="0"/>
    <n v="0"/>
    <n v="24"/>
    <n v="0.2"/>
    <n v="0.2"/>
    <n v="760"/>
    <n v="0"/>
    <n v="36"/>
    <n v="796"/>
  </r>
  <r>
    <x v="27"/>
    <x v="149"/>
    <n v="30"/>
    <n v="70"/>
    <n v="48.340909090909093"/>
    <n v="120"/>
    <n v="54"/>
    <n v="0"/>
    <n v="0"/>
    <n v="0"/>
    <n v="66"/>
    <n v="0.55000000000000004"/>
    <n v="0.55000000000000004"/>
    <n v="3060"/>
    <n v="0"/>
    <n v="130.5"/>
    <n v="3190.5"/>
  </r>
  <r>
    <x v="27"/>
    <x v="150"/>
    <n v="30"/>
    <n v="70"/>
    <n v="34.692982456140349"/>
    <n v="120"/>
    <n v="63"/>
    <n v="0"/>
    <n v="0"/>
    <n v="0"/>
    <n v="57"/>
    <n v="0.47499999999999998"/>
    <n v="0.47499999999999998"/>
    <n v="1910"/>
    <n v="0"/>
    <n v="67.5"/>
    <n v="1977.5"/>
  </r>
  <r>
    <x v="27"/>
    <x v="151"/>
    <n v="30"/>
    <n v="70"/>
    <n v="57.527777777777779"/>
    <n v="120"/>
    <n v="66"/>
    <n v="0"/>
    <n v="0"/>
    <n v="0"/>
    <n v="54"/>
    <n v="0.45"/>
    <n v="0.45"/>
    <n v="2985"/>
    <n v="0"/>
    <n v="121.5"/>
    <n v="3106.5"/>
  </r>
  <r>
    <x v="28"/>
    <x v="152"/>
    <n v="35"/>
    <n v="70"/>
    <n v="30.343137254901961"/>
    <n v="120"/>
    <n v="69"/>
    <n v="0"/>
    <n v="0"/>
    <n v="0"/>
    <n v="51"/>
    <n v="0.42499999999999999"/>
    <n v="0.42499999999999999"/>
    <n v="1480"/>
    <n v="0"/>
    <n v="67.5"/>
    <n v="1547.5"/>
  </r>
  <r>
    <x v="28"/>
    <x v="153"/>
    <n v="35"/>
    <n v="70"/>
    <n v="20.223300970873787"/>
    <n v="120"/>
    <n v="17"/>
    <n v="0"/>
    <n v="0"/>
    <n v="0"/>
    <n v="103"/>
    <n v="0.85829999999999995"/>
    <n v="0.85833333333333328"/>
    <n v="2020"/>
    <n v="0"/>
    <n v="63"/>
    <n v="2083"/>
  </r>
  <r>
    <x v="28"/>
    <x v="154"/>
    <n v="35"/>
    <n v="70"/>
    <n v="46.516666666666666"/>
    <n v="120"/>
    <n v="90"/>
    <n v="0"/>
    <n v="0"/>
    <n v="0"/>
    <n v="30"/>
    <n v="0.25"/>
    <n v="0.25"/>
    <n v="1310"/>
    <n v="0"/>
    <n v="85.5"/>
    <n v="1395.5"/>
  </r>
  <r>
    <x v="28"/>
    <x v="155"/>
    <n v="35"/>
    <n v="70"/>
    <n v="67.517241379310349"/>
    <n v="120"/>
    <n v="91"/>
    <n v="0"/>
    <n v="0"/>
    <n v="0"/>
    <n v="29"/>
    <n v="0.2417"/>
    <n v="0.24166666666666667"/>
    <n v="1850"/>
    <n v="0"/>
    <n v="108"/>
    <n v="1958"/>
  </r>
  <r>
    <x v="28"/>
    <x v="156"/>
    <n v="35"/>
    <n v="70"/>
    <n v="53.225806451612904"/>
    <n v="120"/>
    <n v="89"/>
    <n v="0"/>
    <n v="0"/>
    <n v="0"/>
    <n v="31"/>
    <n v="0.25829999999999997"/>
    <n v="0.25833333333333336"/>
    <n v="1560"/>
    <n v="0"/>
    <n v="90"/>
    <n v="1650"/>
  </r>
  <r>
    <x v="28"/>
    <x v="157"/>
    <n v="35"/>
    <n v="70"/>
    <n v="43.818965517241381"/>
    <n v="120"/>
    <n v="62"/>
    <n v="0"/>
    <n v="0"/>
    <n v="0"/>
    <n v="58"/>
    <n v="0.48330000000000001"/>
    <n v="0.48333333333333334"/>
    <n v="2420"/>
    <n v="0"/>
    <n v="121.5"/>
    <n v="2541.5"/>
  </r>
  <r>
    <x v="28"/>
    <x v="158"/>
    <n v="35"/>
    <n v="70"/>
    <n v="51.422535211267608"/>
    <n v="112"/>
    <n v="41"/>
    <n v="0"/>
    <n v="0"/>
    <n v="0"/>
    <n v="71"/>
    <n v="0.63390000000000002"/>
    <n v="0.59166666666666667"/>
    <n v="3480"/>
    <n v="0"/>
    <n v="171"/>
    <n v="3651"/>
  </r>
  <r>
    <x v="28"/>
    <x v="159"/>
    <n v="35"/>
    <n v="70"/>
    <n v="61.173913043478258"/>
    <n v="112"/>
    <n v="66"/>
    <n v="0"/>
    <n v="0"/>
    <n v="0"/>
    <n v="46"/>
    <n v="0.41070000000000001"/>
    <n v="0.38333333333333336"/>
    <n v="2670"/>
    <n v="0"/>
    <n v="144"/>
    <n v="2814"/>
  </r>
  <r>
    <x v="28"/>
    <x v="160"/>
    <n v="35"/>
    <n v="70"/>
    <n v="49.850746268656714"/>
    <n v="112"/>
    <n v="45"/>
    <n v="0"/>
    <n v="0"/>
    <n v="0"/>
    <n v="67"/>
    <n v="0.59819999999999995"/>
    <n v="0.55833333333333335"/>
    <n v="3160"/>
    <n v="0"/>
    <n v="180"/>
    <n v="3340"/>
  </r>
  <r>
    <x v="28"/>
    <x v="161"/>
    <n v="35"/>
    <n v="70"/>
    <n v="47.97674418604651"/>
    <n v="112"/>
    <n v="69"/>
    <n v="0"/>
    <n v="0"/>
    <n v="0"/>
    <n v="43"/>
    <n v="0.38390000000000002"/>
    <n v="0.35833333333333334"/>
    <n v="2000"/>
    <n v="0"/>
    <n v="63"/>
    <n v="2063"/>
  </r>
  <r>
    <x v="28"/>
    <x v="162"/>
    <n v="30"/>
    <n v="70"/>
    <n v="41.392361111111114"/>
    <n v="112"/>
    <n v="40"/>
    <n v="0"/>
    <n v="0"/>
    <n v="0"/>
    <n v="72"/>
    <n v="0.64290000000000003"/>
    <n v="0.6"/>
    <n v="2870"/>
    <n v="0"/>
    <n v="110.25"/>
    <n v="2980.25"/>
  </r>
  <r>
    <x v="28"/>
    <x v="163"/>
    <n v="35"/>
    <n v="70"/>
    <n v="49.353333333333332"/>
    <n v="112"/>
    <n v="37"/>
    <n v="0"/>
    <n v="0"/>
    <n v="0"/>
    <n v="75"/>
    <n v="0.66959999999999997"/>
    <n v="0.625"/>
    <n v="3490"/>
    <n v="0"/>
    <n v="211.5"/>
    <n v="3701.5"/>
  </r>
  <r>
    <x v="28"/>
    <x v="164"/>
    <n v="35"/>
    <n v="70"/>
    <n v="54.25714285714286"/>
    <n v="112"/>
    <n v="77"/>
    <n v="0"/>
    <n v="0"/>
    <n v="0"/>
    <n v="35"/>
    <n v="0.3125"/>
    <n v="0.29166666666666669"/>
    <n v="1800"/>
    <n v="0"/>
    <n v="99"/>
    <n v="1899"/>
  </r>
  <r>
    <x v="28"/>
    <x v="165"/>
    <n v="35"/>
    <n v="70"/>
    <n v="67.051282051282058"/>
    <n v="112"/>
    <n v="73"/>
    <n v="0"/>
    <n v="0"/>
    <n v="0"/>
    <n v="39"/>
    <n v="0.34820000000000001"/>
    <n v="0.32500000000000001"/>
    <n v="2480"/>
    <n v="0"/>
    <n v="135"/>
    <n v="2615"/>
  </r>
  <r>
    <x v="28"/>
    <x v="166"/>
    <n v="35"/>
    <n v="70"/>
    <n v="56.695402298850574"/>
    <n v="112"/>
    <n v="25"/>
    <n v="0"/>
    <n v="0"/>
    <n v="0"/>
    <n v="87"/>
    <n v="0.77680000000000005"/>
    <n v="0.72499999999999998"/>
    <n v="4640"/>
    <n v="0"/>
    <n v="292.5"/>
    <n v="4932.5"/>
  </r>
  <r>
    <x v="28"/>
    <x v="167"/>
    <n v="30"/>
    <n v="70"/>
    <n v="40.046666666666667"/>
    <n v="113"/>
    <n v="38"/>
    <n v="0"/>
    <n v="0"/>
    <n v="0"/>
    <n v="75"/>
    <n v="0.66369999999999996"/>
    <n v="0.625"/>
    <n v="2900"/>
    <n v="0"/>
    <n v="103.5"/>
    <n v="3003.5"/>
  </r>
  <r>
    <x v="28"/>
    <x v="168"/>
    <n v="35"/>
    <n v="70"/>
    <n v="54.150943396226417"/>
    <n v="112"/>
    <n v="59"/>
    <n v="0"/>
    <n v="0"/>
    <n v="0"/>
    <n v="53"/>
    <n v="0.47320000000000001"/>
    <n v="0.44166666666666665"/>
    <n v="2780"/>
    <n v="0"/>
    <n v="90"/>
    <n v="2870"/>
  </r>
  <r>
    <x v="28"/>
    <x v="169"/>
    <n v="35"/>
    <n v="70"/>
    <n v="57.57377049180328"/>
    <n v="128"/>
    <n v="6"/>
    <n v="0"/>
    <n v="0"/>
    <n v="0"/>
    <n v="122"/>
    <n v="0.95309999999999995"/>
    <n v="1.0166666666666666"/>
    <n v="6655"/>
    <n v="0"/>
    <n v="369"/>
    <n v="7024"/>
  </r>
  <r>
    <x v="28"/>
    <x v="170"/>
    <n v="35"/>
    <n v="70"/>
    <n v="47.17307692307692"/>
    <n v="112"/>
    <n v="34"/>
    <n v="0"/>
    <n v="0"/>
    <n v="0"/>
    <n v="78"/>
    <n v="0.69640000000000002"/>
    <n v="0.65"/>
    <n v="3540"/>
    <n v="0"/>
    <n v="139.5"/>
    <n v="3679.5"/>
  </r>
  <r>
    <x v="28"/>
    <x v="171"/>
    <n v="35"/>
    <n v="70"/>
    <n v="50.468468468468465"/>
    <n v="148"/>
    <n v="37"/>
    <n v="0"/>
    <n v="0"/>
    <n v="0"/>
    <n v="111"/>
    <n v="0.75"/>
    <n v="0.92500000000000004"/>
    <n v="5350"/>
    <n v="0"/>
    <n v="252"/>
    <n v="5602"/>
  </r>
  <r>
    <x v="29"/>
    <x v="172"/>
    <n v="60"/>
    <n v="60"/>
    <n v="36.076271186440678"/>
    <n v="120"/>
    <n v="61"/>
    <n v="0"/>
    <n v="0"/>
    <n v="0"/>
    <n v="59"/>
    <n v="0.49170000000000003"/>
    <n v="0.49166666666666664"/>
    <n v="1980"/>
    <n v="0"/>
    <n v="148.5"/>
    <n v="2128.5"/>
  </r>
  <r>
    <x v="29"/>
    <x v="173"/>
    <n v="60"/>
    <n v="60"/>
    <n v="32.325000000000003"/>
    <n v="120"/>
    <n v="60"/>
    <n v="0"/>
    <n v="0"/>
    <n v="0"/>
    <n v="60"/>
    <n v="0.5"/>
    <n v="0.5"/>
    <n v="1800"/>
    <n v="0"/>
    <n v="139.5"/>
    <n v="1939.5"/>
  </r>
  <r>
    <x v="30"/>
    <x v="174"/>
    <n v="10"/>
    <n v="55"/>
    <n v="17.892473118279568"/>
    <n v="120"/>
    <n v="27"/>
    <n v="0"/>
    <n v="0"/>
    <n v="0"/>
    <n v="93"/>
    <n v="0.77500000000000002"/>
    <n v="0.77500000000000002"/>
    <n v="1524"/>
    <n v="0"/>
    <n v="140"/>
    <n v="1664"/>
  </r>
  <r>
    <x v="30"/>
    <x v="175"/>
    <n v="10"/>
    <n v="55"/>
    <n v="20.636986301369863"/>
    <n v="120"/>
    <n v="47"/>
    <n v="0"/>
    <n v="0"/>
    <n v="0"/>
    <n v="73"/>
    <n v="0.60829999999999995"/>
    <n v="0.60833333333333328"/>
    <n v="1384"/>
    <n v="0"/>
    <n v="122.5"/>
    <n v="1506.5"/>
  </r>
  <r>
    <x v="30"/>
    <x v="176"/>
    <n v="10"/>
    <n v="55"/>
    <n v="3.4310344827586206"/>
    <n v="152"/>
    <n v="36"/>
    <n v="0"/>
    <n v="0"/>
    <n v="0"/>
    <n v="116"/>
    <n v="0.76319999999999999"/>
    <n v="0.96666666666666667"/>
    <n v="373"/>
    <n v="0"/>
    <n v="25"/>
    <n v="398"/>
  </r>
  <r>
    <x v="30"/>
    <x v="177"/>
    <n v="10"/>
    <n v="55"/>
    <n v="12.8125"/>
    <n v="120"/>
    <n v="56"/>
    <n v="0"/>
    <n v="0"/>
    <n v="0"/>
    <n v="64"/>
    <n v="0.5333"/>
    <n v="0.53333333333333333"/>
    <n v="775"/>
    <n v="0"/>
    <n v="45"/>
    <n v="820"/>
  </r>
  <r>
    <x v="30"/>
    <x v="178"/>
    <n v="10"/>
    <n v="55"/>
    <n v="16.905797101449274"/>
    <n v="120"/>
    <n v="51"/>
    <n v="0"/>
    <n v="0"/>
    <n v="0"/>
    <n v="69"/>
    <n v="0.57499999999999996"/>
    <n v="0.57499999999999996"/>
    <n v="1079"/>
    <n v="0"/>
    <n v="87.5"/>
    <n v="1166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732A02-6B1E-5945-9124-40A56F6C603E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showHeaders="0" outline="1" outlineData="1" multipleFieldFilters="0">
  <location ref="A3:E37" firstHeaderRow="0" firstDataRow="1" firstDataCol="1"/>
  <pivotFields count="19">
    <pivotField axis="axisRow" showAll="0" sortType="descending" defaultSubtotal="0">
      <items count="32">
        <item sd="0" x="0"/>
        <item sd="0" x="1"/>
        <item sd="0" x="2"/>
        <item sd="0" x="3"/>
        <item sd="0" x="4"/>
        <item sd="0" x="5"/>
        <item m="1" x="31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dataField="1" numFmtId="22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/>
    <pivotField showAll="0"/>
    <pivotField dataField="1" numFmtId="164" subtotalTop="0" showAll="0" defaultSubtotal="0"/>
    <pivotField showAll="0"/>
    <pivotField showAll="0"/>
    <pivotField showAll="0"/>
    <pivotField showAll="0"/>
    <pivotField showAll="0"/>
    <pivotField showAll="0"/>
    <pivotField numFmtId="10" showAll="0"/>
    <pivotField dataField="1" numFmtId="10" subtotalTop="0" showAll="0" defaultSubtotal="0"/>
    <pivotField numFmtId="43" showAll="0"/>
    <pivotField numFmtId="43" showAll="0"/>
    <pivotField numFmtId="43" showAll="0"/>
    <pivotField dataField="1" numFmtId="43" showAll="0"/>
    <pivotField showAll="0">
      <items count="7">
        <item sd="0" x="0"/>
        <item sd="0" x="1"/>
        <item x="2"/>
        <item sd="0" x="3"/>
        <item sd="0" x="4"/>
        <item sd="0" x="5"/>
        <item t="default"/>
      </items>
    </pivotField>
    <pivotField axis="axisRow" showAll="0">
      <items count="5">
        <item sd="0" x="0"/>
        <item x="1"/>
        <item x="2"/>
        <item sd="0" x="3"/>
        <item t="default"/>
      </items>
    </pivotField>
  </pivotFields>
  <rowFields count="3">
    <field x="18"/>
    <field x="0"/>
    <field x="1"/>
  </rowFields>
  <rowItems count="34">
    <i>
      <x v="1"/>
    </i>
    <i r="1">
      <x v="29"/>
    </i>
    <i r="1">
      <x v="22"/>
    </i>
    <i r="1">
      <x v="28"/>
    </i>
    <i r="1">
      <x v="13"/>
    </i>
    <i r="1">
      <x v="8"/>
    </i>
    <i r="1">
      <x v="16"/>
    </i>
    <i r="1">
      <x v="21"/>
    </i>
    <i r="1">
      <x v="14"/>
    </i>
    <i r="1">
      <x v="20"/>
    </i>
    <i r="1">
      <x v="1"/>
    </i>
    <i r="1">
      <x v="11"/>
    </i>
    <i r="1">
      <x v="12"/>
    </i>
    <i r="1">
      <x v="19"/>
    </i>
    <i r="1">
      <x/>
    </i>
    <i r="1">
      <x v="18"/>
    </i>
    <i>
      <x v="2"/>
    </i>
    <i r="1">
      <x v="26"/>
    </i>
    <i r="1">
      <x v="9"/>
    </i>
    <i r="1">
      <x v="10"/>
    </i>
    <i r="1">
      <x v="5"/>
    </i>
    <i r="1">
      <x v="15"/>
    </i>
    <i r="1">
      <x v="17"/>
    </i>
    <i r="1">
      <x v="2"/>
    </i>
    <i r="1">
      <x v="31"/>
    </i>
    <i r="1">
      <x v="7"/>
    </i>
    <i r="1">
      <x v="3"/>
    </i>
    <i r="1">
      <x v="30"/>
    </i>
    <i r="1">
      <x v="27"/>
    </i>
    <i r="1">
      <x v="25"/>
    </i>
    <i r="1">
      <x v="23"/>
    </i>
    <i r="1">
      <x v="24"/>
    </i>
    <i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Sales Total" fld="16" baseField="0" baseItem="0" numFmtId="3"/>
    <dataField name="# Perf" fld="1" subtotal="count" baseField="0" baseItem="0"/>
    <dataField name="Avg Tkt Price" fld="4" subtotal="average" baseField="0" baseItem="0" numFmtId="166"/>
    <dataField name="Avg % Seat Util. 120" fld="12" subtotal="average" baseField="0" baseItem="0" numFmtId="167"/>
  </dataFields>
  <formats count="28">
    <format dxfId="27">
      <pivotArea collapsedLevelsAreSubtotals="1" fieldPosition="0">
        <references count="1">
          <reference field="18" count="1">
            <x v="1"/>
          </reference>
        </references>
      </pivotArea>
    </format>
    <format dxfId="26">
      <pivotArea dataOnly="0" labelOnly="1" fieldPosition="0">
        <references count="1">
          <reference field="18" count="1">
            <x v="1"/>
          </reference>
        </references>
      </pivotArea>
    </format>
    <format dxfId="25">
      <pivotArea collapsedLevelsAreSubtotals="1" fieldPosition="0">
        <references count="1">
          <reference field="18" count="1">
            <x v="2"/>
          </reference>
        </references>
      </pivotArea>
    </format>
    <format dxfId="24">
      <pivotArea dataOnly="0" labelOnly="1" fieldPosition="0">
        <references count="1">
          <reference field="18" count="1">
            <x v="2"/>
          </reference>
        </references>
      </pivotArea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type="origin" dataOnly="0" labelOnly="1" outline="0" fieldPosition="0"/>
    </format>
    <format dxfId="20">
      <pivotArea field="-2" type="button" dataOnly="0" labelOnly="1" outline="0" axis="axisCol" fieldPosition="0"/>
    </format>
    <format dxfId="19">
      <pivotArea type="topRight" dataOnly="0" labelOnly="1" outline="0" fieldPosition="0"/>
    </format>
    <format dxfId="18">
      <pivotArea field="18" type="button" dataOnly="0" labelOnly="1" outline="0" axis="axisRow" fieldPosition="0"/>
    </format>
    <format dxfId="17">
      <pivotArea dataOnly="0" labelOnly="1" fieldPosition="0">
        <references count="1">
          <reference field="18" count="2">
            <x v="1"/>
            <x v="2"/>
          </reference>
        </references>
      </pivotArea>
    </format>
    <format dxfId="16">
      <pivotArea dataOnly="0" labelOnly="1" grandRow="1" outline="0" fieldPosition="0"/>
    </format>
    <format dxfId="15">
      <pivotArea dataOnly="0" labelOnly="1" fieldPosition="0">
        <references count="2">
          <reference field="0" count="15">
            <x v="0"/>
            <x v="1"/>
            <x v="8"/>
            <x v="11"/>
            <x v="12"/>
            <x v="13"/>
            <x v="14"/>
            <x v="16"/>
            <x v="18"/>
            <x v="19"/>
            <x v="20"/>
            <x v="21"/>
            <x v="22"/>
            <x v="28"/>
            <x v="29"/>
          </reference>
          <reference field="18" count="1" selected="0">
            <x v="1"/>
          </reference>
        </references>
      </pivotArea>
    </format>
    <format dxfId="14">
      <pivotArea dataOnly="0" labelOnly="1" fieldPosition="0">
        <references count="2">
          <reference field="0" count="16">
            <x v="2"/>
            <x v="3"/>
            <x v="4"/>
            <x v="5"/>
            <x v="7"/>
            <x v="9"/>
            <x v="10"/>
            <x v="15"/>
            <x v="17"/>
            <x v="23"/>
            <x v="24"/>
            <x v="25"/>
            <x v="26"/>
            <x v="27"/>
            <x v="30"/>
            <x v="31"/>
          </reference>
          <reference field="18" count="1" selected="0">
            <x v="2"/>
          </reference>
        </references>
      </pivotArea>
    </format>
    <format dxfId="13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type="origin" dataOnly="0" labelOnly="1" outline="0" fieldPosition="0"/>
    </format>
    <format dxfId="9">
      <pivotArea field="-2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18" type="button" dataOnly="0" labelOnly="1" outline="0" axis="axisRow" fieldPosition="0"/>
    </format>
    <format dxfId="6">
      <pivotArea dataOnly="0" labelOnly="1" fieldPosition="0">
        <references count="1">
          <reference field="18" count="2">
            <x v="1"/>
            <x v="2"/>
          </reference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2">
          <reference field="0" count="15">
            <x v="0"/>
            <x v="1"/>
            <x v="8"/>
            <x v="11"/>
            <x v="12"/>
            <x v="13"/>
            <x v="14"/>
            <x v="16"/>
            <x v="18"/>
            <x v="19"/>
            <x v="20"/>
            <x v="21"/>
            <x v="22"/>
            <x v="28"/>
            <x v="29"/>
          </reference>
          <reference field="18" count="1" selected="0">
            <x v="1"/>
          </reference>
        </references>
      </pivotArea>
    </format>
    <format dxfId="3">
      <pivotArea dataOnly="0" labelOnly="1" fieldPosition="0">
        <references count="2">
          <reference field="0" count="16">
            <x v="2"/>
            <x v="3"/>
            <x v="4"/>
            <x v="5"/>
            <x v="7"/>
            <x v="9"/>
            <x v="10"/>
            <x v="15"/>
            <x v="17"/>
            <x v="23"/>
            <x v="24"/>
            <x v="25"/>
            <x v="26"/>
            <x v="27"/>
            <x v="30"/>
            <x v="31"/>
          </reference>
          <reference field="18" count="1" selected="0">
            <x v="2"/>
          </reference>
        </references>
      </pivotArea>
    </format>
    <format dxfId="2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B8A04-D263-1C42-81EE-95333113760F}">
  <dimension ref="A1:AD155"/>
  <sheetViews>
    <sheetView zoomScale="125" zoomScaleNormal="125" workbookViewId="0">
      <selection activeCell="K8" sqref="K8"/>
    </sheetView>
  </sheetViews>
  <sheetFormatPr baseColWidth="10" defaultRowHeight="15"/>
  <cols>
    <col min="1" max="1" width="7.83203125" style="1" bestFit="1" customWidth="1"/>
    <col min="2" max="2" width="25.5" style="1" bestFit="1" customWidth="1"/>
    <col min="3" max="3" width="6.33203125" style="1" bestFit="1" customWidth="1"/>
    <col min="4" max="5" width="8.5" style="1" bestFit="1" customWidth="1"/>
    <col min="6" max="6" width="6.33203125" style="1" customWidth="1"/>
    <col min="7" max="7" width="5.83203125" style="1" bestFit="1" customWidth="1"/>
    <col min="8" max="8" width="7.33203125" style="1" bestFit="1" customWidth="1"/>
    <col min="9" max="9" width="8.5" style="1" bestFit="1" customWidth="1"/>
    <col min="10" max="10" width="7.5" style="1" bestFit="1" customWidth="1"/>
    <col min="11" max="11" width="7" style="1" bestFit="1" customWidth="1"/>
    <col min="12" max="16" width="6.83203125" style="1" bestFit="1" customWidth="1"/>
    <col min="17" max="17" width="8.5" style="1" bestFit="1" customWidth="1"/>
    <col min="18" max="16384" width="10.83203125" style="1"/>
  </cols>
  <sheetData>
    <row r="1" spans="1:18">
      <c r="A1" s="98" t="s">
        <v>163</v>
      </c>
      <c r="B1" s="46" t="s">
        <v>239</v>
      </c>
      <c r="C1" s="4" t="s">
        <v>166</v>
      </c>
      <c r="D1" s="4" t="s">
        <v>261</v>
      </c>
      <c r="E1" s="4" t="s">
        <v>259</v>
      </c>
      <c r="F1" s="5" t="s">
        <v>262</v>
      </c>
      <c r="G1" s="5" t="s">
        <v>263</v>
      </c>
      <c r="H1" s="4" t="s">
        <v>167</v>
      </c>
      <c r="I1" s="38" t="s">
        <v>97</v>
      </c>
      <c r="J1" s="5" t="s">
        <v>98</v>
      </c>
      <c r="K1" s="5" t="s">
        <v>99</v>
      </c>
      <c r="L1" s="5" t="s">
        <v>100</v>
      </c>
      <c r="M1" s="5" t="s">
        <v>255</v>
      </c>
      <c r="N1" s="5" t="s">
        <v>256</v>
      </c>
      <c r="O1" s="5" t="s">
        <v>257</v>
      </c>
      <c r="P1" s="5" t="s">
        <v>258</v>
      </c>
      <c r="Q1" s="38" t="s">
        <v>102</v>
      </c>
      <c r="R1" s="7" t="s">
        <v>101</v>
      </c>
    </row>
    <row r="2" spans="1:18">
      <c r="A2" s="63" t="s">
        <v>209</v>
      </c>
      <c r="B2" s="35" t="s">
        <v>164</v>
      </c>
      <c r="C2" s="113" t="s">
        <v>162</v>
      </c>
      <c r="D2" s="129">
        <v>43642</v>
      </c>
      <c r="E2" s="129">
        <v>43666</v>
      </c>
      <c r="F2" s="64">
        <v>20</v>
      </c>
      <c r="G2" s="64">
        <v>4</v>
      </c>
      <c r="H2" s="64">
        <v>3</v>
      </c>
      <c r="I2" s="115"/>
      <c r="J2" s="79"/>
      <c r="K2" s="468"/>
      <c r="L2" s="468"/>
      <c r="M2" s="468"/>
      <c r="N2" s="468"/>
      <c r="O2" s="468"/>
      <c r="P2" s="468"/>
      <c r="Q2" s="115" t="s">
        <v>249</v>
      </c>
      <c r="R2" s="28"/>
    </row>
    <row r="3" spans="1:18">
      <c r="A3" s="29" t="s">
        <v>210</v>
      </c>
      <c r="B3" s="15" t="s">
        <v>264</v>
      </c>
      <c r="C3" s="108" t="s">
        <v>173</v>
      </c>
      <c r="D3" s="130">
        <v>43671</v>
      </c>
      <c r="E3" s="130">
        <v>43694</v>
      </c>
      <c r="F3" s="47">
        <v>18</v>
      </c>
      <c r="G3" s="47">
        <v>4</v>
      </c>
      <c r="H3" s="47">
        <v>5</v>
      </c>
      <c r="I3" s="116" t="s">
        <v>253</v>
      </c>
      <c r="J3" s="76" t="s">
        <v>252</v>
      </c>
      <c r="K3" s="469"/>
      <c r="L3" s="469"/>
      <c r="M3" s="469"/>
      <c r="N3" s="469"/>
      <c r="O3" s="469"/>
      <c r="P3" s="469"/>
      <c r="Q3" s="116" t="s">
        <v>250</v>
      </c>
      <c r="R3" s="28"/>
    </row>
    <row r="4" spans="1:18">
      <c r="A4" s="29" t="s">
        <v>211</v>
      </c>
      <c r="B4" s="15" t="s">
        <v>168</v>
      </c>
      <c r="C4" s="108" t="s">
        <v>169</v>
      </c>
      <c r="D4" s="130">
        <v>43699</v>
      </c>
      <c r="E4" s="130">
        <v>43722</v>
      </c>
      <c r="F4" s="47">
        <v>19</v>
      </c>
      <c r="G4" s="47">
        <v>4</v>
      </c>
      <c r="H4" s="47">
        <v>4</v>
      </c>
      <c r="I4" s="116" t="s">
        <v>254</v>
      </c>
      <c r="J4" s="76"/>
      <c r="K4" s="76"/>
      <c r="L4" s="76"/>
      <c r="M4" s="76"/>
      <c r="N4" s="76"/>
      <c r="O4" s="76"/>
      <c r="P4" s="76"/>
      <c r="Q4" s="116" t="s">
        <v>251</v>
      </c>
      <c r="R4" s="28"/>
    </row>
    <row r="5" spans="1:18">
      <c r="A5" s="29" t="s">
        <v>212</v>
      </c>
      <c r="B5" s="15" t="s">
        <v>266</v>
      </c>
      <c r="C5" s="108" t="s">
        <v>216</v>
      </c>
      <c r="D5" s="130">
        <v>43733</v>
      </c>
      <c r="E5" s="130">
        <v>43743</v>
      </c>
      <c r="F5" s="29">
        <v>8</v>
      </c>
      <c r="G5" s="29">
        <v>2</v>
      </c>
      <c r="H5" s="29">
        <v>2</v>
      </c>
      <c r="I5" s="116"/>
      <c r="J5" s="76"/>
      <c r="K5" s="76"/>
      <c r="L5" s="76"/>
      <c r="M5" s="76"/>
      <c r="N5" s="76"/>
      <c r="O5" s="76"/>
      <c r="P5" s="76"/>
      <c r="Q5" s="116"/>
      <c r="R5" s="28"/>
    </row>
    <row r="6" spans="1:18">
      <c r="A6" s="29" t="s">
        <v>213</v>
      </c>
      <c r="B6" s="15" t="s">
        <v>170</v>
      </c>
      <c r="C6" s="108" t="s">
        <v>175</v>
      </c>
      <c r="D6" s="130">
        <v>43797</v>
      </c>
      <c r="E6" s="130">
        <v>43813</v>
      </c>
      <c r="F6" s="47">
        <v>10</v>
      </c>
      <c r="G6" s="47">
        <v>3</v>
      </c>
      <c r="H6" s="47">
        <v>5</v>
      </c>
      <c r="I6" s="116"/>
      <c r="J6" s="76"/>
      <c r="K6" s="76"/>
      <c r="L6" s="76"/>
      <c r="M6" s="76"/>
      <c r="N6" s="76"/>
      <c r="O6" s="76"/>
      <c r="P6" s="76"/>
      <c r="Q6" s="116"/>
      <c r="R6" s="28"/>
    </row>
    <row r="7" spans="1:18">
      <c r="A7" s="99" t="s">
        <v>226</v>
      </c>
      <c r="B7" s="15" t="s">
        <v>165</v>
      </c>
      <c r="C7" s="108" t="s">
        <v>39</v>
      </c>
      <c r="D7" s="130">
        <v>43636</v>
      </c>
      <c r="E7" s="130">
        <v>43637</v>
      </c>
      <c r="F7" s="47">
        <v>2</v>
      </c>
      <c r="G7" s="47">
        <v>1</v>
      </c>
      <c r="H7" s="47">
        <v>8</v>
      </c>
      <c r="I7" s="116"/>
      <c r="J7" s="76"/>
      <c r="K7" s="76"/>
      <c r="L7" s="76"/>
      <c r="M7" s="76"/>
      <c r="N7" s="76"/>
      <c r="O7" s="76"/>
      <c r="P7" s="76"/>
      <c r="Q7" s="116"/>
      <c r="R7" s="28"/>
    </row>
    <row r="8" spans="1:18">
      <c r="A8" s="99" t="s">
        <v>227</v>
      </c>
      <c r="B8" s="15" t="s">
        <v>174</v>
      </c>
      <c r="C8" s="108" t="s">
        <v>176</v>
      </c>
      <c r="D8" s="131" t="s">
        <v>260</v>
      </c>
      <c r="E8" s="130">
        <v>43764</v>
      </c>
      <c r="F8" s="47">
        <v>1</v>
      </c>
      <c r="G8" s="47">
        <v>1</v>
      </c>
      <c r="H8" s="47">
        <v>10</v>
      </c>
      <c r="I8" s="116"/>
      <c r="J8" s="76"/>
      <c r="K8" s="76"/>
      <c r="L8" s="76"/>
      <c r="M8" s="76"/>
      <c r="N8" s="76"/>
      <c r="O8" s="76"/>
      <c r="P8" s="76"/>
      <c r="Q8" s="116"/>
      <c r="R8" s="28"/>
    </row>
    <row r="9" spans="1:18">
      <c r="A9" s="29" t="s">
        <v>228</v>
      </c>
      <c r="B9" s="15"/>
      <c r="C9" s="29"/>
      <c r="D9" s="47"/>
      <c r="E9" s="47"/>
      <c r="F9" s="47"/>
      <c r="G9" s="47"/>
      <c r="H9" s="47"/>
      <c r="I9" s="116"/>
      <c r="J9" s="76"/>
      <c r="K9" s="76"/>
      <c r="L9" s="76"/>
      <c r="M9" s="76"/>
      <c r="N9" s="76"/>
      <c r="O9" s="76"/>
      <c r="P9" s="76"/>
      <c r="Q9" s="116"/>
      <c r="R9" s="28"/>
    </row>
    <row r="10" spans="1:18">
      <c r="A10" s="29" t="s">
        <v>229</v>
      </c>
      <c r="B10" s="15"/>
      <c r="C10" s="29"/>
      <c r="D10" s="47"/>
      <c r="E10" s="47"/>
      <c r="F10" s="47"/>
      <c r="G10" s="47"/>
      <c r="H10" s="47"/>
      <c r="I10" s="116"/>
      <c r="J10" s="76"/>
      <c r="K10" s="76"/>
      <c r="L10" s="76"/>
      <c r="M10" s="76"/>
      <c r="N10" s="76"/>
      <c r="O10" s="76"/>
      <c r="P10" s="76"/>
      <c r="Q10" s="116"/>
      <c r="R10" s="28"/>
    </row>
    <row r="11" spans="1:18">
      <c r="A11" s="29" t="s">
        <v>233</v>
      </c>
      <c r="B11" s="15"/>
      <c r="C11" s="29"/>
      <c r="D11" s="47"/>
      <c r="E11" s="47"/>
      <c r="F11" s="47"/>
      <c r="G11" s="47"/>
      <c r="H11" s="47"/>
      <c r="I11" s="116"/>
      <c r="J11" s="76"/>
      <c r="K11" s="76"/>
      <c r="L11" s="76"/>
      <c r="M11" s="76"/>
      <c r="N11" s="76"/>
      <c r="O11" s="76"/>
      <c r="P11" s="76"/>
      <c r="Q11" s="116"/>
      <c r="R11" s="28"/>
    </row>
    <row r="12" spans="1:18">
      <c r="A12" s="29" t="s">
        <v>234</v>
      </c>
      <c r="B12" s="15"/>
      <c r="C12" s="29"/>
      <c r="D12" s="47"/>
      <c r="E12" s="47"/>
      <c r="F12" s="53"/>
      <c r="G12" s="53"/>
      <c r="H12" s="53"/>
      <c r="I12" s="116"/>
      <c r="J12" s="76"/>
      <c r="K12" s="76"/>
      <c r="L12" s="76"/>
      <c r="M12" s="76"/>
      <c r="N12" s="76"/>
      <c r="O12" s="76"/>
      <c r="P12" s="76"/>
      <c r="Q12" s="116"/>
      <c r="R12" s="28"/>
    </row>
    <row r="13" spans="1:18">
      <c r="A13" s="29" t="s">
        <v>235</v>
      </c>
      <c r="B13" s="15"/>
      <c r="C13" s="29"/>
      <c r="D13" s="47"/>
      <c r="E13" s="47"/>
      <c r="F13" s="53"/>
      <c r="G13" s="53"/>
      <c r="H13" s="53"/>
      <c r="I13" s="116"/>
      <c r="J13" s="76"/>
      <c r="K13" s="76"/>
      <c r="L13" s="76"/>
      <c r="M13" s="76"/>
      <c r="N13" s="76"/>
      <c r="O13" s="76"/>
      <c r="P13" s="76"/>
      <c r="Q13" s="116"/>
      <c r="R13" s="28"/>
    </row>
    <row r="14" spans="1:18">
      <c r="A14" s="29" t="s">
        <v>230</v>
      </c>
      <c r="B14" s="65"/>
      <c r="C14" s="112"/>
      <c r="D14" s="47"/>
      <c r="E14" s="47"/>
      <c r="F14" s="53"/>
      <c r="G14" s="53"/>
      <c r="H14" s="53"/>
      <c r="I14" s="116"/>
      <c r="J14" s="76"/>
      <c r="K14" s="76"/>
      <c r="L14" s="76"/>
      <c r="M14" s="76"/>
      <c r="N14" s="76"/>
      <c r="O14" s="76"/>
      <c r="P14" s="76"/>
      <c r="Q14" s="116"/>
      <c r="R14" s="28"/>
    </row>
    <row r="15" spans="1:18">
      <c r="A15" s="36" t="s">
        <v>231</v>
      </c>
      <c r="B15" s="16"/>
      <c r="C15" s="36"/>
      <c r="D15" s="54"/>
      <c r="E15" s="54"/>
      <c r="F15" s="54"/>
      <c r="G15" s="36"/>
      <c r="H15" s="36"/>
      <c r="I15" s="117"/>
      <c r="J15" s="114"/>
      <c r="K15" s="114"/>
      <c r="L15" s="114"/>
      <c r="M15" s="114"/>
      <c r="N15" s="114"/>
      <c r="O15" s="114"/>
      <c r="P15" s="114"/>
      <c r="Q15" s="117"/>
      <c r="R15" s="61"/>
    </row>
    <row r="16" spans="1:18">
      <c r="A16" s="55" t="s">
        <v>53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1"/>
    </row>
    <row r="18" spans="1:16">
      <c r="A18" s="98" t="s">
        <v>163</v>
      </c>
      <c r="B18" s="62" t="s">
        <v>239</v>
      </c>
      <c r="C18" s="38" t="s">
        <v>166</v>
      </c>
      <c r="D18" s="7" t="s">
        <v>240</v>
      </c>
      <c r="E18" s="8" t="s">
        <v>159</v>
      </c>
      <c r="F18" s="8" t="s">
        <v>241</v>
      </c>
      <c r="G18" s="8" t="s">
        <v>242</v>
      </c>
      <c r="H18" s="8" t="s">
        <v>243</v>
      </c>
      <c r="I18" s="8" t="s">
        <v>244</v>
      </c>
      <c r="J18" s="8" t="s">
        <v>157</v>
      </c>
      <c r="K18" s="8" t="s">
        <v>158</v>
      </c>
      <c r="L18" s="8" t="s">
        <v>245</v>
      </c>
      <c r="M18" s="8" t="s">
        <v>246</v>
      </c>
      <c r="N18" s="8" t="s">
        <v>247</v>
      </c>
      <c r="O18" s="8" t="s">
        <v>248</v>
      </c>
      <c r="P18" s="7" t="s">
        <v>53</v>
      </c>
    </row>
    <row r="19" spans="1:16">
      <c r="A19" s="63" t="s">
        <v>209</v>
      </c>
      <c r="B19" s="97" t="s">
        <v>164</v>
      </c>
      <c r="C19" s="119" t="s">
        <v>162</v>
      </c>
      <c r="D19" s="52"/>
      <c r="E19" s="52"/>
      <c r="F19" s="52"/>
      <c r="G19" s="52"/>
      <c r="H19" s="52"/>
      <c r="I19" s="52">
        <v>5</v>
      </c>
      <c r="J19" s="52">
        <v>15</v>
      </c>
      <c r="K19" s="52"/>
      <c r="L19" s="52"/>
      <c r="M19" s="52"/>
      <c r="N19" s="52"/>
      <c r="O19" s="52"/>
      <c r="P19" s="118">
        <f>SUM(D19:O19)</f>
        <v>20</v>
      </c>
    </row>
    <row r="20" spans="1:16">
      <c r="A20" s="29" t="s">
        <v>210</v>
      </c>
      <c r="B20" s="28" t="s">
        <v>264</v>
      </c>
      <c r="C20" s="109" t="s">
        <v>173</v>
      </c>
      <c r="D20" s="52"/>
      <c r="E20" s="52"/>
      <c r="F20" s="52"/>
      <c r="G20" s="52"/>
      <c r="H20" s="52"/>
      <c r="I20" s="52"/>
      <c r="J20" s="52">
        <v>7</v>
      </c>
      <c r="K20" s="52">
        <v>11</v>
      </c>
      <c r="L20" s="52"/>
      <c r="M20" s="52"/>
      <c r="N20" s="52"/>
      <c r="O20" s="52"/>
      <c r="P20" s="118">
        <f t="shared" ref="P20:P32" si="0">SUM(D20:O20)</f>
        <v>18</v>
      </c>
    </row>
    <row r="21" spans="1:16">
      <c r="A21" s="29" t="s">
        <v>211</v>
      </c>
      <c r="B21" s="28" t="s">
        <v>168</v>
      </c>
      <c r="C21" s="109" t="s">
        <v>169</v>
      </c>
      <c r="D21" s="52"/>
      <c r="E21" s="52"/>
      <c r="F21" s="52"/>
      <c r="G21" s="52"/>
      <c r="H21" s="52"/>
      <c r="I21" s="52"/>
      <c r="J21" s="52"/>
      <c r="K21" s="52">
        <v>8</v>
      </c>
      <c r="L21" s="52">
        <v>11</v>
      </c>
      <c r="M21" s="52"/>
      <c r="N21" s="52"/>
      <c r="O21" s="52"/>
      <c r="P21" s="118">
        <f t="shared" si="0"/>
        <v>19</v>
      </c>
    </row>
    <row r="22" spans="1:16">
      <c r="A22" s="29" t="s">
        <v>212</v>
      </c>
      <c r="B22" s="28" t="s">
        <v>216</v>
      </c>
      <c r="C22" s="109" t="s">
        <v>216</v>
      </c>
      <c r="D22" s="52"/>
      <c r="E22" s="52"/>
      <c r="F22" s="52"/>
      <c r="G22" s="52"/>
      <c r="H22" s="52"/>
      <c r="I22" s="52"/>
      <c r="J22" s="52"/>
      <c r="K22" s="52"/>
      <c r="L22" s="52">
        <v>4</v>
      </c>
      <c r="M22" s="52">
        <v>4</v>
      </c>
      <c r="N22" s="52"/>
      <c r="O22" s="52"/>
      <c r="P22" s="118">
        <f t="shared" si="0"/>
        <v>8</v>
      </c>
    </row>
    <row r="23" spans="1:16">
      <c r="A23" s="29" t="s">
        <v>213</v>
      </c>
      <c r="B23" s="28" t="s">
        <v>170</v>
      </c>
      <c r="C23" s="109" t="s">
        <v>175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>
        <v>3</v>
      </c>
      <c r="O23" s="52">
        <v>7</v>
      </c>
      <c r="P23" s="118">
        <f t="shared" si="0"/>
        <v>10</v>
      </c>
    </row>
    <row r="24" spans="1:16">
      <c r="A24" s="99" t="s">
        <v>226</v>
      </c>
      <c r="B24" s="28" t="s">
        <v>165</v>
      </c>
      <c r="C24" s="109" t="s">
        <v>39</v>
      </c>
      <c r="D24" s="52"/>
      <c r="E24" s="52"/>
      <c r="F24" s="52"/>
      <c r="G24" s="52"/>
      <c r="H24" s="52"/>
      <c r="I24" s="52">
        <v>2</v>
      </c>
      <c r="J24" s="52"/>
      <c r="K24" s="52"/>
      <c r="L24" s="52"/>
      <c r="M24" s="52"/>
      <c r="N24" s="52"/>
      <c r="O24" s="52"/>
      <c r="P24" s="118">
        <f t="shared" si="0"/>
        <v>2</v>
      </c>
    </row>
    <row r="25" spans="1:16">
      <c r="A25" s="99" t="s">
        <v>227</v>
      </c>
      <c r="B25" s="28" t="s">
        <v>174</v>
      </c>
      <c r="C25" s="109" t="s">
        <v>176</v>
      </c>
      <c r="D25" s="52"/>
      <c r="E25" s="52"/>
      <c r="F25" s="52"/>
      <c r="G25" s="52"/>
      <c r="H25" s="52"/>
      <c r="I25" s="52"/>
      <c r="J25" s="52"/>
      <c r="K25" s="52"/>
      <c r="L25" s="52"/>
      <c r="M25" s="52">
        <v>1</v>
      </c>
      <c r="N25" s="52"/>
      <c r="O25" s="52"/>
      <c r="P25" s="118">
        <f t="shared" si="0"/>
        <v>1</v>
      </c>
    </row>
    <row r="26" spans="1:16">
      <c r="A26" s="29" t="s">
        <v>228</v>
      </c>
      <c r="B26" s="28"/>
      <c r="C26" s="28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118">
        <f t="shared" si="0"/>
        <v>0</v>
      </c>
    </row>
    <row r="27" spans="1:16">
      <c r="A27" s="29" t="s">
        <v>229</v>
      </c>
      <c r="B27" s="28"/>
      <c r="C27" s="28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118">
        <f t="shared" si="0"/>
        <v>0</v>
      </c>
    </row>
    <row r="28" spans="1:16">
      <c r="A28" s="29" t="s">
        <v>233</v>
      </c>
      <c r="B28" s="28"/>
      <c r="C28" s="28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118">
        <f t="shared" si="0"/>
        <v>0</v>
      </c>
    </row>
    <row r="29" spans="1:16">
      <c r="A29" s="29" t="s">
        <v>234</v>
      </c>
      <c r="B29" s="28"/>
      <c r="C29" s="28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118">
        <f t="shared" si="0"/>
        <v>0</v>
      </c>
    </row>
    <row r="30" spans="1:16">
      <c r="A30" s="29" t="s">
        <v>235</v>
      </c>
      <c r="B30" s="28"/>
      <c r="C30" s="28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118">
        <f t="shared" si="0"/>
        <v>0</v>
      </c>
    </row>
    <row r="31" spans="1:16">
      <c r="A31" s="29" t="s">
        <v>230</v>
      </c>
      <c r="B31" s="118"/>
      <c r="C31" s="28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118">
        <f t="shared" si="0"/>
        <v>0</v>
      </c>
    </row>
    <row r="32" spans="1:16">
      <c r="A32" s="36" t="s">
        <v>231</v>
      </c>
      <c r="B32" s="61"/>
      <c r="C32" s="61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18">
        <f t="shared" si="0"/>
        <v>0</v>
      </c>
    </row>
    <row r="33" spans="1:16">
      <c r="A33" s="55" t="s">
        <v>53</v>
      </c>
      <c r="B33" s="120"/>
      <c r="C33" s="120"/>
      <c r="D33" s="122">
        <f>SUM(D19:D32)</f>
        <v>0</v>
      </c>
      <c r="E33" s="122">
        <f t="shared" ref="E33:P33" si="1">SUM(E19:E32)</f>
        <v>0</v>
      </c>
      <c r="F33" s="122">
        <f t="shared" si="1"/>
        <v>0</v>
      </c>
      <c r="G33" s="122">
        <f t="shared" si="1"/>
        <v>0</v>
      </c>
      <c r="H33" s="122">
        <f t="shared" si="1"/>
        <v>0</v>
      </c>
      <c r="I33" s="122">
        <f t="shared" si="1"/>
        <v>7</v>
      </c>
      <c r="J33" s="122">
        <f t="shared" si="1"/>
        <v>22</v>
      </c>
      <c r="K33" s="122">
        <f t="shared" si="1"/>
        <v>19</v>
      </c>
      <c r="L33" s="122">
        <f t="shared" si="1"/>
        <v>15</v>
      </c>
      <c r="M33" s="122">
        <f t="shared" si="1"/>
        <v>5</v>
      </c>
      <c r="N33" s="122">
        <f t="shared" si="1"/>
        <v>3</v>
      </c>
      <c r="O33" s="122">
        <f t="shared" si="1"/>
        <v>7</v>
      </c>
      <c r="P33" s="123">
        <f t="shared" si="1"/>
        <v>78</v>
      </c>
    </row>
    <row r="155" spans="30:30">
      <c r="AD155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F7C39-1700-6B47-87FA-771FE792A6F4}">
  <sheetPr>
    <pageSetUpPr fitToPage="1"/>
  </sheetPr>
  <dimension ref="A1:AQ161"/>
  <sheetViews>
    <sheetView tabSelected="1" zoomScale="125" zoomScaleNormal="12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W141" sqref="W141"/>
    </sheetView>
  </sheetViews>
  <sheetFormatPr baseColWidth="10" defaultRowHeight="16"/>
  <cols>
    <col min="1" max="1" width="3" style="1" customWidth="1"/>
    <col min="2" max="2" width="36" style="1" customWidth="1"/>
    <col min="3" max="4" width="8.6640625" style="1" bestFit="1" customWidth="1"/>
    <col min="5" max="5" width="9.1640625" style="1" bestFit="1" customWidth="1"/>
    <col min="6" max="6" width="9.6640625" style="1" bestFit="1" customWidth="1"/>
    <col min="7" max="9" width="8.6640625" style="1" bestFit="1" customWidth="1"/>
    <col min="10" max="11" width="9.6640625" style="1" bestFit="1" customWidth="1"/>
    <col min="12" max="12" width="10.1640625" style="1" bestFit="1" customWidth="1"/>
    <col min="13" max="13" width="10.1640625" style="110" customWidth="1"/>
    <col min="14" max="14" width="10.1640625" style="1" bestFit="1" customWidth="1"/>
    <col min="15" max="15" width="9.6640625" style="1" bestFit="1" customWidth="1"/>
    <col min="16" max="16" width="11.1640625" style="1" bestFit="1" customWidth="1"/>
    <col min="17" max="17" width="9.1640625" style="1" bestFit="1" customWidth="1"/>
    <col min="18" max="18" width="1.83203125" customWidth="1"/>
    <col min="19" max="19" width="5.5" style="1" bestFit="1" customWidth="1"/>
    <col min="20" max="20" width="5.5" style="110" bestFit="1" customWidth="1"/>
    <col min="21" max="21" width="5.5" style="110" customWidth="1"/>
    <col min="22" max="22" width="10.83203125" style="110" customWidth="1"/>
    <col min="23" max="23" width="41" style="1" bestFit="1" customWidth="1"/>
    <col min="24" max="24" width="12.1640625" style="20" bestFit="1" customWidth="1"/>
    <col min="25" max="25" width="12.6640625" style="20" bestFit="1" customWidth="1"/>
    <col min="26" max="26" width="11.33203125" style="20" bestFit="1" customWidth="1"/>
    <col min="27" max="27" width="8.33203125" style="20" bestFit="1" customWidth="1"/>
    <col min="28" max="30" width="6.5" style="1" hidden="1" customWidth="1"/>
    <col min="31" max="31" width="7.1640625" style="1" hidden="1" customWidth="1"/>
    <col min="32" max="34" width="6.5" style="110" hidden="1" customWidth="1"/>
    <col min="35" max="35" width="7.1640625" style="110" hidden="1" customWidth="1"/>
    <col min="36" max="16384" width="10.83203125" style="1"/>
  </cols>
  <sheetData>
    <row r="1" spans="1:35">
      <c r="A1" s="167" t="s">
        <v>415</v>
      </c>
      <c r="B1" s="321"/>
      <c r="C1" s="325" t="s">
        <v>416</v>
      </c>
      <c r="D1" s="326"/>
      <c r="E1" s="326"/>
      <c r="F1" s="327"/>
      <c r="G1" s="294" t="s">
        <v>416</v>
      </c>
      <c r="H1" s="294"/>
      <c r="I1" s="295"/>
      <c r="J1" s="356" t="s">
        <v>417</v>
      </c>
      <c r="K1" s="359" t="s">
        <v>416</v>
      </c>
      <c r="L1" s="360" t="s">
        <v>417</v>
      </c>
      <c r="M1" s="360" t="s">
        <v>19</v>
      </c>
      <c r="N1" s="350" t="s">
        <v>19</v>
      </c>
      <c r="O1" s="325" t="s">
        <v>477</v>
      </c>
      <c r="P1" s="326"/>
      <c r="Q1" s="327"/>
      <c r="S1" s="379">
        <v>2017</v>
      </c>
      <c r="T1" s="380">
        <v>2018</v>
      </c>
      <c r="U1" s="381">
        <v>2019</v>
      </c>
      <c r="V1" s="113"/>
      <c r="W1" s="409"/>
      <c r="X1" s="271"/>
      <c r="Y1" s="271"/>
      <c r="Z1" s="271"/>
      <c r="AA1" s="271"/>
      <c r="AB1" s="34">
        <v>2017</v>
      </c>
      <c r="AC1" s="34">
        <v>2017</v>
      </c>
      <c r="AD1" s="34">
        <v>2017</v>
      </c>
      <c r="AE1" s="34">
        <v>2017</v>
      </c>
      <c r="AF1" s="111">
        <v>2018</v>
      </c>
      <c r="AG1" s="111">
        <v>2018</v>
      </c>
      <c r="AH1" s="111">
        <v>2018</v>
      </c>
      <c r="AI1" s="111">
        <v>2018</v>
      </c>
    </row>
    <row r="2" spans="1:35" s="3" customFormat="1">
      <c r="A2" s="168" t="s">
        <v>419</v>
      </c>
      <c r="B2" s="322"/>
      <c r="C2" s="328" t="s">
        <v>268</v>
      </c>
      <c r="D2" s="169" t="s">
        <v>269</v>
      </c>
      <c r="E2" s="169" t="s">
        <v>270</v>
      </c>
      <c r="F2" s="329" t="s">
        <v>271</v>
      </c>
      <c r="G2" s="281" t="s">
        <v>268</v>
      </c>
      <c r="H2" s="281" t="s">
        <v>269</v>
      </c>
      <c r="I2" s="281" t="s">
        <v>270</v>
      </c>
      <c r="J2" s="357" t="s">
        <v>271</v>
      </c>
      <c r="K2" s="361" t="s">
        <v>207</v>
      </c>
      <c r="L2" s="287" t="s">
        <v>207</v>
      </c>
      <c r="M2" s="287" t="s">
        <v>207</v>
      </c>
      <c r="N2" s="362" t="s">
        <v>207</v>
      </c>
      <c r="O2" s="361" t="s">
        <v>472</v>
      </c>
      <c r="P2" s="281" t="s">
        <v>472</v>
      </c>
      <c r="Q2" s="370" t="s">
        <v>473</v>
      </c>
      <c r="R2"/>
      <c r="S2" s="382" t="s">
        <v>420</v>
      </c>
      <c r="T2" s="289" t="s">
        <v>420</v>
      </c>
      <c r="U2" s="383" t="s">
        <v>420</v>
      </c>
      <c r="V2" s="108"/>
      <c r="W2" s="410" t="s">
        <v>272</v>
      </c>
      <c r="X2" s="272"/>
      <c r="Y2" s="272"/>
      <c r="Z2" s="272"/>
      <c r="AA2" s="272"/>
      <c r="AB2" s="34" t="s">
        <v>268</v>
      </c>
      <c r="AC2" s="34" t="s">
        <v>269</v>
      </c>
      <c r="AD2" s="34" t="s">
        <v>270</v>
      </c>
      <c r="AE2" s="34" t="s">
        <v>271</v>
      </c>
      <c r="AF2" s="34" t="s">
        <v>268</v>
      </c>
      <c r="AG2" s="34" t="s">
        <v>269</v>
      </c>
      <c r="AH2" s="34" t="s">
        <v>270</v>
      </c>
      <c r="AI2" s="34" t="s">
        <v>271</v>
      </c>
    </row>
    <row r="3" spans="1:35" s="3" customFormat="1">
      <c r="A3" s="296">
        <f ca="1">NOW()</f>
        <v>43408.499514120369</v>
      </c>
      <c r="B3" s="323"/>
      <c r="C3" s="330">
        <v>2017</v>
      </c>
      <c r="D3" s="171">
        <v>2017</v>
      </c>
      <c r="E3" s="171">
        <v>2017</v>
      </c>
      <c r="F3" s="331">
        <v>2017</v>
      </c>
      <c r="G3" s="169">
        <v>2018</v>
      </c>
      <c r="H3" s="169">
        <v>2018</v>
      </c>
      <c r="I3" s="169">
        <v>2018</v>
      </c>
      <c r="J3" s="358">
        <v>2018</v>
      </c>
      <c r="K3" s="330">
        <v>2017</v>
      </c>
      <c r="L3" s="288">
        <v>2018</v>
      </c>
      <c r="M3" s="288">
        <v>2018</v>
      </c>
      <c r="N3" s="351">
        <v>2019</v>
      </c>
      <c r="O3" s="330" t="s">
        <v>475</v>
      </c>
      <c r="P3" s="171" t="s">
        <v>474</v>
      </c>
      <c r="Q3" s="331" t="s">
        <v>476</v>
      </c>
      <c r="R3"/>
      <c r="S3" s="384" t="s">
        <v>421</v>
      </c>
      <c r="T3" s="301" t="s">
        <v>421</v>
      </c>
      <c r="U3" s="354" t="s">
        <v>421</v>
      </c>
      <c r="V3" s="108"/>
      <c r="W3" s="410" t="s">
        <v>273</v>
      </c>
      <c r="X3" s="273" t="s">
        <v>469</v>
      </c>
      <c r="Y3" s="273" t="s">
        <v>470</v>
      </c>
      <c r="Z3" s="273" t="s">
        <v>471</v>
      </c>
      <c r="AA3" s="273" t="s">
        <v>418</v>
      </c>
      <c r="AB3" s="34" t="s">
        <v>422</v>
      </c>
      <c r="AC3" s="34" t="s">
        <v>422</v>
      </c>
      <c r="AD3" s="34" t="s">
        <v>422</v>
      </c>
      <c r="AE3" s="34" t="s">
        <v>422</v>
      </c>
      <c r="AF3" s="34" t="s">
        <v>422</v>
      </c>
      <c r="AG3" s="34" t="s">
        <v>422</v>
      </c>
      <c r="AH3" s="34" t="s">
        <v>422</v>
      </c>
      <c r="AI3" s="34" t="s">
        <v>422</v>
      </c>
    </row>
    <row r="4" spans="1:35" s="3" customFormat="1">
      <c r="A4" s="275" t="s">
        <v>486</v>
      </c>
      <c r="B4" s="277"/>
      <c r="C4" s="332"/>
      <c r="D4" s="174"/>
      <c r="E4" s="174"/>
      <c r="F4" s="333"/>
      <c r="G4" s="144"/>
      <c r="H4" s="144"/>
      <c r="I4" s="144"/>
      <c r="J4" s="397"/>
      <c r="K4" s="363"/>
      <c r="L4" s="144"/>
      <c r="M4" s="144"/>
      <c r="N4" s="401"/>
      <c r="O4" s="332"/>
      <c r="P4" s="174"/>
      <c r="Q4" s="333"/>
      <c r="R4"/>
      <c r="S4" s="363"/>
      <c r="T4" s="144"/>
      <c r="U4" s="352"/>
      <c r="V4" s="176"/>
      <c r="W4" s="276"/>
      <c r="X4" s="283"/>
      <c r="Y4" s="283"/>
      <c r="Z4" s="283"/>
      <c r="AA4" s="283"/>
      <c r="AF4" s="176"/>
      <c r="AG4" s="176"/>
      <c r="AH4" s="176"/>
      <c r="AI4" s="176"/>
    </row>
    <row r="5" spans="1:35" s="3" customFormat="1">
      <c r="A5" s="65" t="s">
        <v>274</v>
      </c>
      <c r="B5" s="112"/>
      <c r="C5" s="334"/>
      <c r="D5" s="172"/>
      <c r="E5" s="172"/>
      <c r="F5" s="335"/>
      <c r="G5" s="142"/>
      <c r="H5" s="142"/>
      <c r="I5" s="142"/>
      <c r="J5" s="311"/>
      <c r="K5" s="364"/>
      <c r="L5" s="142"/>
      <c r="M5" s="142"/>
      <c r="N5" s="402"/>
      <c r="O5" s="334"/>
      <c r="P5" s="172"/>
      <c r="Q5" s="335"/>
      <c r="R5"/>
      <c r="S5" s="364"/>
      <c r="T5" s="142"/>
      <c r="U5" s="353"/>
      <c r="V5" s="176"/>
      <c r="W5" s="173" t="s">
        <v>274</v>
      </c>
      <c r="X5" s="138"/>
      <c r="Y5" s="138"/>
      <c r="Z5" s="138"/>
      <c r="AA5" s="138"/>
      <c r="AF5" s="176"/>
      <c r="AG5" s="176"/>
      <c r="AH5" s="176"/>
      <c r="AI5" s="176"/>
    </row>
    <row r="6" spans="1:35" s="3" customFormat="1">
      <c r="A6" s="65" t="s">
        <v>275</v>
      </c>
      <c r="B6" s="112"/>
      <c r="C6" s="334"/>
      <c r="D6" s="172"/>
      <c r="E6" s="172"/>
      <c r="F6" s="335"/>
      <c r="G6" s="142"/>
      <c r="H6" s="142"/>
      <c r="I6" s="142"/>
      <c r="J6" s="311"/>
      <c r="K6" s="365">
        <v>0.51100000000000001</v>
      </c>
      <c r="L6" s="280">
        <v>0.54700000000000004</v>
      </c>
      <c r="M6" s="280"/>
      <c r="N6" s="403">
        <v>0.6</v>
      </c>
      <c r="O6" s="334"/>
      <c r="P6" s="172"/>
      <c r="Q6" s="335"/>
      <c r="R6"/>
      <c r="S6" s="364"/>
      <c r="T6" s="142"/>
      <c r="U6" s="353"/>
      <c r="V6" s="176"/>
      <c r="W6" s="173" t="s">
        <v>275</v>
      </c>
      <c r="X6" s="138"/>
      <c r="Y6" s="138"/>
      <c r="Z6" s="138"/>
      <c r="AA6" s="138"/>
      <c r="AF6" s="176"/>
      <c r="AG6" s="176"/>
      <c r="AH6" s="176"/>
      <c r="AI6" s="176"/>
    </row>
    <row r="7" spans="1:35">
      <c r="A7" s="15"/>
      <c r="B7" s="29" t="s">
        <v>276</v>
      </c>
      <c r="C7" s="336">
        <v>0</v>
      </c>
      <c r="D7" s="11">
        <v>3643.5</v>
      </c>
      <c r="E7" s="11">
        <v>182918.75</v>
      </c>
      <c r="F7" s="337">
        <v>27919</v>
      </c>
      <c r="G7" s="138">
        <v>1204</v>
      </c>
      <c r="H7" s="138">
        <v>16368.5</v>
      </c>
      <c r="I7" s="138">
        <v>193788.5</v>
      </c>
      <c r="J7" s="398">
        <v>40000</v>
      </c>
      <c r="K7" s="366">
        <f>SUM(C7:F7)</f>
        <v>214481.25</v>
      </c>
      <c r="L7" s="138">
        <f>SUM(G7:J7)</f>
        <v>251361</v>
      </c>
      <c r="M7" s="138">
        <v>268000</v>
      </c>
      <c r="N7" s="404">
        <f>'2019 Prod Budget'!K75+'2019 Prod Budget'!L75</f>
        <v>300560</v>
      </c>
      <c r="O7" s="371">
        <f>L7-K7</f>
        <v>36879.75</v>
      </c>
      <c r="P7" s="178">
        <f>L7-M7</f>
        <v>-16639</v>
      </c>
      <c r="Q7" s="372">
        <f>N7-L7</f>
        <v>49199</v>
      </c>
      <c r="S7" s="385">
        <f>K7/K$31</f>
        <v>0.26217359147209335</v>
      </c>
      <c r="T7" s="290">
        <f>L7/L$31</f>
        <v>0.2345009864330207</v>
      </c>
      <c r="U7" s="386">
        <f>N7/N$31</f>
        <v>0.17739940127111842</v>
      </c>
      <c r="V7" s="264"/>
      <c r="W7" s="126" t="s">
        <v>276</v>
      </c>
      <c r="X7" s="138">
        <v>214481.25</v>
      </c>
      <c r="Y7" s="138">
        <v>223677.9</v>
      </c>
      <c r="Z7" s="138">
        <f t="shared" ref="Z7:Z12" si="0">Y7-AA7</f>
        <v>211361</v>
      </c>
      <c r="AA7" s="138">
        <v>12316.9</v>
      </c>
      <c r="AB7" s="179">
        <f>C7/C$31</f>
        <v>0</v>
      </c>
      <c r="AC7" s="179">
        <f>D7/D$31</f>
        <v>1.8578789646033135E-2</v>
      </c>
      <c r="AD7" s="179">
        <f>E7/E$31</f>
        <v>0.54480432658365441</v>
      </c>
      <c r="AE7" s="179">
        <f>F7/F$31</f>
        <v>0.14536915742278536</v>
      </c>
      <c r="AF7" s="179">
        <f>G7/G$31</f>
        <v>1.4836992714100022E-2</v>
      </c>
      <c r="AG7" s="179">
        <f>H7/H$31</f>
        <v>6.6703641610912204E-2</v>
      </c>
      <c r="AH7" s="179">
        <f>I7/I$31</f>
        <v>0.34726228633746986</v>
      </c>
      <c r="AI7" s="179">
        <f>J7/J$31</f>
        <v>0.2135485903123682</v>
      </c>
    </row>
    <row r="8" spans="1:35">
      <c r="A8" s="15"/>
      <c r="B8" s="29" t="s">
        <v>277</v>
      </c>
      <c r="C8" s="336">
        <v>6102.75</v>
      </c>
      <c r="D8" s="11">
        <v>29250</v>
      </c>
      <c r="E8" s="11">
        <v>0</v>
      </c>
      <c r="F8" s="337">
        <v>0</v>
      </c>
      <c r="G8" s="138">
        <v>375</v>
      </c>
      <c r="H8" s="138">
        <v>44070</v>
      </c>
      <c r="I8" s="138">
        <v>12500</v>
      </c>
      <c r="J8" s="398">
        <f>SUM(G8:I8)/SUM(AB8:AD8)*AE8</f>
        <v>0</v>
      </c>
      <c r="K8" s="366">
        <f>SUM(C8:F8)</f>
        <v>35352.75</v>
      </c>
      <c r="L8" s="138">
        <f>SUM(G8:J8)</f>
        <v>56945</v>
      </c>
      <c r="M8" s="138">
        <v>50000</v>
      </c>
      <c r="N8" s="404">
        <f>'2019 Prod Budget'!L76</f>
        <v>50000</v>
      </c>
      <c r="O8" s="371">
        <f>L8-K8</f>
        <v>21592.25</v>
      </c>
      <c r="P8" s="178">
        <f>L8-M8</f>
        <v>6945</v>
      </c>
      <c r="Q8" s="372">
        <f>N8-L8</f>
        <v>-6945</v>
      </c>
      <c r="S8" s="385">
        <f>K8/K$31</f>
        <v>4.3213835409459091E-2</v>
      </c>
      <c r="T8" s="290">
        <f>L8/L$31</f>
        <v>5.3125419903757395E-2</v>
      </c>
      <c r="U8" s="386">
        <f>N8/N$31</f>
        <v>2.9511478784788131E-2</v>
      </c>
      <c r="V8" s="264"/>
      <c r="W8" s="126" t="s">
        <v>277</v>
      </c>
      <c r="X8" s="138">
        <v>35352.75</v>
      </c>
      <c r="Y8" s="138">
        <v>56945</v>
      </c>
      <c r="Z8" s="138">
        <f t="shared" si="0"/>
        <v>56945</v>
      </c>
      <c r="AA8" s="138">
        <v>0</v>
      </c>
      <c r="AB8" s="179">
        <f>C8/C$31</f>
        <v>6.4805113176790136E-2</v>
      </c>
      <c r="AC8" s="179">
        <f>D8/D$31</f>
        <v>0.1491504314934731</v>
      </c>
      <c r="AD8" s="179">
        <f>E8/E$31</f>
        <v>0</v>
      </c>
      <c r="AE8" s="179">
        <f>F8/F$31</f>
        <v>0</v>
      </c>
      <c r="AF8" s="179">
        <f>G8/G$31</f>
        <v>4.6211563685942762E-3</v>
      </c>
      <c r="AG8" s="179">
        <f>H8/H$31</f>
        <v>0.1795906458009531</v>
      </c>
      <c r="AH8" s="179">
        <f>I8/I$31</f>
        <v>2.2399567462560332E-2</v>
      </c>
      <c r="AI8" s="179">
        <f>J8/J$31</f>
        <v>0</v>
      </c>
    </row>
    <row r="9" spans="1:35">
      <c r="A9" s="15"/>
      <c r="B9" s="29" t="s">
        <v>278</v>
      </c>
      <c r="C9" s="336">
        <v>0</v>
      </c>
      <c r="D9" s="11">
        <v>90.23</v>
      </c>
      <c r="E9" s="11">
        <v>9928.7000000000007</v>
      </c>
      <c r="F9" s="337">
        <v>2325.37</v>
      </c>
      <c r="G9" s="138">
        <v>289.52</v>
      </c>
      <c r="H9" s="138">
        <v>1587.4</v>
      </c>
      <c r="I9" s="138">
        <v>15546.76</v>
      </c>
      <c r="J9" s="398">
        <v>5000</v>
      </c>
      <c r="K9" s="366">
        <f>SUM(C9:F9)</f>
        <v>12344.3</v>
      </c>
      <c r="L9" s="138">
        <f>SUM(G9:J9)</f>
        <v>22423.68</v>
      </c>
      <c r="M9" s="138">
        <v>40000</v>
      </c>
      <c r="N9" s="404">
        <f>+'2019 Prod Budget'!K77</f>
        <v>33696</v>
      </c>
      <c r="O9" s="371">
        <f>L9-K9</f>
        <v>10079.380000000001</v>
      </c>
      <c r="P9" s="178">
        <f>L9-M9</f>
        <v>-17576.32</v>
      </c>
      <c r="Q9" s="372">
        <f>N9-L9</f>
        <v>11272.32</v>
      </c>
      <c r="S9" s="385">
        <f>K9/K$31</f>
        <v>1.5089195280281896E-2</v>
      </c>
      <c r="T9" s="290">
        <f>L9/L$31</f>
        <v>2.0919613939546697E-2</v>
      </c>
      <c r="U9" s="386">
        <f>N9/N$31</f>
        <v>1.9888375782644418E-2</v>
      </c>
      <c r="V9" s="264"/>
      <c r="W9" s="126" t="s">
        <v>278</v>
      </c>
      <c r="X9" s="138">
        <v>12344.3</v>
      </c>
      <c r="Y9" s="138">
        <v>19134.650000000001</v>
      </c>
      <c r="Z9" s="138">
        <f t="shared" si="0"/>
        <v>17423.68</v>
      </c>
      <c r="AA9" s="138">
        <v>1710.97</v>
      </c>
      <c r="AB9" s="179">
        <f>C9/C$31</f>
        <v>0</v>
      </c>
      <c r="AC9" s="179">
        <f>D9/D$31</f>
        <v>4.6009721140704538E-4</v>
      </c>
      <c r="AD9" s="179">
        <f>E9/E$31</f>
        <v>2.9571592400183849E-2</v>
      </c>
      <c r="AE9" s="179">
        <f>F9/F$31</f>
        <v>1.2107778845811898E-2</v>
      </c>
      <c r="AF9" s="179">
        <f>G9/G$31</f>
        <v>3.5677791782277725E-3</v>
      </c>
      <c r="AG9" s="179">
        <f>H9/H$31</f>
        <v>6.4688493565789188E-3</v>
      </c>
      <c r="AH9" s="179">
        <f>I9/I$31</f>
        <v>2.7859255955538759E-2</v>
      </c>
      <c r="AI9" s="179">
        <f>J9/J$31</f>
        <v>2.6693573789046025E-2</v>
      </c>
    </row>
    <row r="10" spans="1:35">
      <c r="A10" s="15"/>
      <c r="B10" s="29" t="s">
        <v>279</v>
      </c>
      <c r="C10" s="336">
        <v>750</v>
      </c>
      <c r="D10" s="11">
        <v>8300</v>
      </c>
      <c r="E10" s="11">
        <v>0</v>
      </c>
      <c r="F10" s="337">
        <v>1500</v>
      </c>
      <c r="G10" s="138">
        <v>3105</v>
      </c>
      <c r="H10" s="138">
        <v>2625</v>
      </c>
      <c r="I10" s="138">
        <v>0</v>
      </c>
      <c r="J10" s="398">
        <v>2250</v>
      </c>
      <c r="K10" s="366">
        <f>SUM(C10:F10)</f>
        <v>10550</v>
      </c>
      <c r="L10" s="138">
        <f>SUM(G10:J10)</f>
        <v>7980</v>
      </c>
      <c r="M10" s="138">
        <v>10000</v>
      </c>
      <c r="N10" s="404">
        <v>15000</v>
      </c>
      <c r="O10" s="371">
        <f>L10-K10</f>
        <v>-2570</v>
      </c>
      <c r="P10" s="178">
        <f>L10-M10</f>
        <v>-2020</v>
      </c>
      <c r="Q10" s="372">
        <f>N10-L10</f>
        <v>7020</v>
      </c>
      <c r="S10" s="385">
        <f>K10/K$31</f>
        <v>1.2895912300168825E-2</v>
      </c>
      <c r="T10" s="290">
        <f>L10/L$31</f>
        <v>7.4447423098074287E-3</v>
      </c>
      <c r="U10" s="386">
        <f>N10/N$31</f>
        <v>8.8534436354364386E-3</v>
      </c>
      <c r="V10" s="264"/>
      <c r="W10" s="126" t="s">
        <v>279</v>
      </c>
      <c r="X10" s="138">
        <v>10550</v>
      </c>
      <c r="Y10" s="138">
        <v>7980</v>
      </c>
      <c r="Z10" s="138">
        <f t="shared" si="0"/>
        <v>5730</v>
      </c>
      <c r="AA10" s="138">
        <v>2250</v>
      </c>
      <c r="AB10" s="179">
        <f>C10/C$31</f>
        <v>7.9642513428524186E-3</v>
      </c>
      <c r="AC10" s="179">
        <f>D10/D$31</f>
        <v>4.2323028423788947E-2</v>
      </c>
      <c r="AD10" s="179">
        <f>E10/E$31</f>
        <v>0</v>
      </c>
      <c r="AE10" s="179">
        <f>F10/F$31</f>
        <v>7.8102273052107181E-3</v>
      </c>
      <c r="AF10" s="179">
        <f>G10/G$31</f>
        <v>3.8263174731960607E-2</v>
      </c>
      <c r="AG10" s="179">
        <f>H10/H$31</f>
        <v>1.0697196397265756E-2</v>
      </c>
      <c r="AH10" s="179">
        <f>I10/I$31</f>
        <v>0</v>
      </c>
      <c r="AI10" s="179">
        <f>J10/J$31</f>
        <v>1.2012108205070711E-2</v>
      </c>
    </row>
    <row r="11" spans="1:35">
      <c r="A11" s="15"/>
      <c r="B11" s="29" t="s">
        <v>423</v>
      </c>
      <c r="C11" s="336">
        <v>0</v>
      </c>
      <c r="D11" s="11">
        <v>0</v>
      </c>
      <c r="E11" s="11">
        <v>0</v>
      </c>
      <c r="F11" s="337">
        <v>0</v>
      </c>
      <c r="G11" s="138">
        <v>0</v>
      </c>
      <c r="H11" s="138">
        <v>0</v>
      </c>
      <c r="I11" s="138">
        <v>0</v>
      </c>
      <c r="J11" s="398">
        <v>561</v>
      </c>
      <c r="K11" s="366">
        <f>SUM(C11:F11)</f>
        <v>0</v>
      </c>
      <c r="L11" s="138">
        <f>SUM(G11:J11)</f>
        <v>561</v>
      </c>
      <c r="M11" s="138">
        <v>0</v>
      </c>
      <c r="N11" s="404">
        <v>0</v>
      </c>
      <c r="O11" s="371">
        <f>L11-K11</f>
        <v>561</v>
      </c>
      <c r="P11" s="178">
        <f>L11-M11</f>
        <v>561</v>
      </c>
      <c r="Q11" s="372">
        <f>N11-L11</f>
        <v>-561</v>
      </c>
      <c r="S11" s="385">
        <f>K11/K$31</f>
        <v>0</v>
      </c>
      <c r="T11" s="290">
        <f>L11/L$31</f>
        <v>5.2337098193007111E-4</v>
      </c>
      <c r="U11" s="386">
        <f>N11/N$31</f>
        <v>0</v>
      </c>
      <c r="V11" s="264"/>
      <c r="W11" s="126" t="s">
        <v>423</v>
      </c>
      <c r="X11" s="138">
        <v>0</v>
      </c>
      <c r="Y11" s="138">
        <v>561</v>
      </c>
      <c r="Z11" s="138">
        <f t="shared" si="0"/>
        <v>0</v>
      </c>
      <c r="AA11" s="138">
        <v>561</v>
      </c>
      <c r="AB11" s="179">
        <f>C11/C$31</f>
        <v>0</v>
      </c>
      <c r="AC11" s="179">
        <f>D11/D$31</f>
        <v>0</v>
      </c>
      <c r="AD11" s="179">
        <f>E11/E$31</f>
        <v>0</v>
      </c>
      <c r="AE11" s="179">
        <f>F11/F$31</f>
        <v>0</v>
      </c>
      <c r="AF11" s="179">
        <f>G11/G$31</f>
        <v>0</v>
      </c>
      <c r="AG11" s="179">
        <f>H11/H$31</f>
        <v>0</v>
      </c>
      <c r="AH11" s="179">
        <f>I11/I$31</f>
        <v>0</v>
      </c>
      <c r="AI11" s="179">
        <f>J11/J$31</f>
        <v>2.9950189791309641E-3</v>
      </c>
    </row>
    <row r="12" spans="1:35">
      <c r="A12" s="15"/>
      <c r="B12" s="29" t="s">
        <v>280</v>
      </c>
      <c r="C12" s="336">
        <v>0</v>
      </c>
      <c r="D12" s="11">
        <v>2560</v>
      </c>
      <c r="E12" s="11">
        <v>3550</v>
      </c>
      <c r="F12" s="337">
        <v>6850</v>
      </c>
      <c r="G12" s="138">
        <v>2300</v>
      </c>
      <c r="H12" s="138">
        <v>350</v>
      </c>
      <c r="I12" s="138">
        <v>350</v>
      </c>
      <c r="J12" s="398">
        <v>2000</v>
      </c>
      <c r="K12" s="366">
        <f>SUM(C12:F12)</f>
        <v>12960</v>
      </c>
      <c r="L12" s="138">
        <f>SUM(G12:J12)</f>
        <v>5000</v>
      </c>
      <c r="M12" s="138">
        <v>30000</v>
      </c>
      <c r="N12" s="404">
        <v>30000</v>
      </c>
      <c r="O12" s="371">
        <f>L12-K12</f>
        <v>-7960</v>
      </c>
      <c r="P12" s="178">
        <f>L12-M12</f>
        <v>-25000</v>
      </c>
      <c r="Q12" s="372">
        <f>N12-L12</f>
        <v>25000</v>
      </c>
      <c r="S12" s="385">
        <f>K12/K$31</f>
        <v>1.5841803166842462E-2</v>
      </c>
      <c r="T12" s="290">
        <f>L12/L$31</f>
        <v>4.6646255073981386E-3</v>
      </c>
      <c r="U12" s="386">
        <f>N12/N$31</f>
        <v>1.7706887270872877E-2</v>
      </c>
      <c r="V12" s="264"/>
      <c r="W12" s="126" t="s">
        <v>280</v>
      </c>
      <c r="X12" s="138">
        <v>12960</v>
      </c>
      <c r="Y12" s="138">
        <v>3000</v>
      </c>
      <c r="Z12" s="138">
        <f t="shared" si="0"/>
        <v>3000</v>
      </c>
      <c r="AA12" s="138">
        <v>0</v>
      </c>
      <c r="AB12" s="179">
        <f>C12/C$31</f>
        <v>0</v>
      </c>
      <c r="AC12" s="179">
        <f>D12/D$31</f>
        <v>1.3053849730710807E-2</v>
      </c>
      <c r="AD12" s="179">
        <f>E12/E$31</f>
        <v>1.0573302952113837E-2</v>
      </c>
      <c r="AE12" s="179">
        <f>F12/F$31</f>
        <v>3.5666704693795612E-2</v>
      </c>
      <c r="AF12" s="179">
        <f>G12/G$31</f>
        <v>2.8343092394044894E-2</v>
      </c>
      <c r="AG12" s="179">
        <f>H12/H$31</f>
        <v>1.4262928529687675E-3</v>
      </c>
      <c r="AH12" s="179">
        <f>I12/I$31</f>
        <v>6.2718788895168936E-4</v>
      </c>
      <c r="AI12" s="179">
        <f>J12/J$31</f>
        <v>1.067742951561841E-2</v>
      </c>
    </row>
    <row r="13" spans="1:35" s="3" customFormat="1">
      <c r="A13" s="65" t="s">
        <v>281</v>
      </c>
      <c r="B13" s="112"/>
      <c r="C13" s="338">
        <f>SUM(C7:C12)</f>
        <v>6852.75</v>
      </c>
      <c r="D13" s="180">
        <f t="shared" ref="D13:F13" si="1">SUM(D7:D12)</f>
        <v>43843.73</v>
      </c>
      <c r="E13" s="180">
        <f t="shared" si="1"/>
        <v>196397.45</v>
      </c>
      <c r="F13" s="339">
        <f t="shared" si="1"/>
        <v>38594.369999999995</v>
      </c>
      <c r="G13" s="180">
        <f>SUM(G7:G12)</f>
        <v>7273.52</v>
      </c>
      <c r="H13" s="180">
        <f t="shared" ref="H13" si="2">SUM(H7:H12)</f>
        <v>65000.9</v>
      </c>
      <c r="I13" s="180">
        <f t="shared" ref="I13" si="3">SUM(I7:I12)</f>
        <v>222185.26</v>
      </c>
      <c r="J13" s="309">
        <f t="shared" ref="J13" si="4">SUM(J7:J12)</f>
        <v>49811</v>
      </c>
      <c r="K13" s="338">
        <f t="shared" ref="K13" si="5">SUM(K7:K12)</f>
        <v>285688.3</v>
      </c>
      <c r="L13" s="140">
        <f t="shared" ref="L13" si="6">SUM(L7:L12)</f>
        <v>344270.68</v>
      </c>
      <c r="M13" s="140">
        <f t="shared" ref="M13" si="7">SUM(M7:M12)</f>
        <v>398000</v>
      </c>
      <c r="N13" s="341">
        <f t="shared" ref="N13" si="8">SUM(N7:N12)</f>
        <v>429256</v>
      </c>
      <c r="O13" s="338">
        <f t="shared" ref="O13:Q13" si="9">SUM(O7:O12)</f>
        <v>58582.380000000005</v>
      </c>
      <c r="P13" s="180">
        <f t="shared" si="9"/>
        <v>-53729.32</v>
      </c>
      <c r="Q13" s="339">
        <f t="shared" si="9"/>
        <v>84985.32</v>
      </c>
      <c r="R13"/>
      <c r="S13" s="387">
        <f>K13/K$31</f>
        <v>0.34921433762884563</v>
      </c>
      <c r="T13" s="291">
        <f>L13/L$31</f>
        <v>0.3211787590754604</v>
      </c>
      <c r="U13" s="388">
        <f>N13/N$31</f>
        <v>0.25335958674486025</v>
      </c>
      <c r="V13" s="264"/>
      <c r="W13" s="173" t="s">
        <v>281</v>
      </c>
      <c r="X13" s="140">
        <f t="shared" ref="X13:Y13" si="10">SUM(X7:X12)</f>
        <v>285688.3</v>
      </c>
      <c r="Y13" s="140">
        <f t="shared" si="10"/>
        <v>311298.55000000005</v>
      </c>
      <c r="Z13" s="140">
        <f t="shared" ref="Z13" si="11">SUM(Z7:Z12)</f>
        <v>294459.68</v>
      </c>
      <c r="AA13" s="140">
        <f t="shared" ref="AA13" si="12">SUM(AA7:AA12)</f>
        <v>16838.87</v>
      </c>
      <c r="AB13" s="182">
        <f>C13/C$31</f>
        <v>7.2769364519642554E-2</v>
      </c>
      <c r="AC13" s="182">
        <f>D13/D$31</f>
        <v>0.22356619650541304</v>
      </c>
      <c r="AD13" s="182">
        <f>E13/E$31</f>
        <v>0.58494922193595211</v>
      </c>
      <c r="AE13" s="182">
        <f>F13/F$31</f>
        <v>0.20095386826760356</v>
      </c>
      <c r="AF13" s="182">
        <f>G13/G$31</f>
        <v>8.9632195386927571E-2</v>
      </c>
      <c r="AG13" s="182">
        <f>H13/H$31</f>
        <v>0.26488662601867874</v>
      </c>
      <c r="AH13" s="182">
        <f>I13/I$31</f>
        <v>0.39814829764452064</v>
      </c>
      <c r="AI13" s="182">
        <f>J13/J$31</f>
        <v>0.26592672080123431</v>
      </c>
    </row>
    <row r="14" spans="1:35" s="3" customFormat="1">
      <c r="A14" s="65"/>
      <c r="B14" s="112"/>
      <c r="C14" s="338"/>
      <c r="D14" s="180"/>
      <c r="E14" s="180"/>
      <c r="F14" s="339"/>
      <c r="G14" s="140"/>
      <c r="H14" s="140"/>
      <c r="I14" s="140"/>
      <c r="J14" s="309"/>
      <c r="K14" s="367"/>
      <c r="L14" s="140"/>
      <c r="M14" s="140"/>
      <c r="N14" s="341"/>
      <c r="O14" s="373"/>
      <c r="P14" s="181"/>
      <c r="Q14" s="374"/>
      <c r="R14"/>
      <c r="S14" s="387"/>
      <c r="T14" s="291"/>
      <c r="U14" s="388"/>
      <c r="V14" s="265"/>
      <c r="W14" s="173"/>
      <c r="X14" s="274"/>
      <c r="Y14" s="274"/>
      <c r="Z14" s="274"/>
      <c r="AA14" s="274"/>
      <c r="AB14" s="182"/>
      <c r="AC14" s="182"/>
      <c r="AD14" s="182"/>
      <c r="AE14" s="182"/>
      <c r="AF14" s="182"/>
      <c r="AG14" s="182"/>
      <c r="AH14" s="182"/>
      <c r="AI14" s="182"/>
    </row>
    <row r="15" spans="1:35" s="3" customFormat="1">
      <c r="A15" s="65" t="s">
        <v>282</v>
      </c>
      <c r="B15" s="112"/>
      <c r="C15" s="338"/>
      <c r="D15" s="180"/>
      <c r="E15" s="180"/>
      <c r="F15" s="339"/>
      <c r="G15" s="140"/>
      <c r="H15" s="140"/>
      <c r="I15" s="140"/>
      <c r="J15" s="309"/>
      <c r="K15" s="367"/>
      <c r="L15" s="140"/>
      <c r="M15" s="140"/>
      <c r="N15" s="341"/>
      <c r="O15" s="373"/>
      <c r="P15" s="181"/>
      <c r="Q15" s="374"/>
      <c r="R15"/>
      <c r="S15" s="387"/>
      <c r="T15" s="291"/>
      <c r="U15" s="388"/>
      <c r="V15" s="265"/>
      <c r="W15" s="173" t="s">
        <v>282</v>
      </c>
      <c r="X15" s="138"/>
      <c r="Y15" s="138"/>
      <c r="Z15" s="138"/>
      <c r="AA15" s="138"/>
      <c r="AB15" s="182"/>
      <c r="AC15" s="182"/>
      <c r="AD15" s="182"/>
      <c r="AE15" s="182"/>
      <c r="AF15" s="182"/>
      <c r="AG15" s="182"/>
      <c r="AH15" s="182"/>
      <c r="AI15" s="182"/>
    </row>
    <row r="16" spans="1:35" s="3" customFormat="1">
      <c r="A16" s="65" t="s">
        <v>283</v>
      </c>
      <c r="B16" s="112"/>
      <c r="C16" s="338"/>
      <c r="D16" s="180"/>
      <c r="E16" s="180"/>
      <c r="F16" s="339"/>
      <c r="G16" s="140"/>
      <c r="H16" s="140"/>
      <c r="I16" s="140"/>
      <c r="J16" s="309"/>
      <c r="K16" s="367"/>
      <c r="L16" s="140"/>
      <c r="M16" s="140"/>
      <c r="N16" s="341"/>
      <c r="O16" s="373"/>
      <c r="P16" s="181"/>
      <c r="Q16" s="374"/>
      <c r="R16"/>
      <c r="S16" s="387"/>
      <c r="T16" s="291"/>
      <c r="U16" s="388"/>
      <c r="V16" s="265"/>
      <c r="W16" s="173" t="s">
        <v>283</v>
      </c>
      <c r="X16" s="138"/>
      <c r="Y16" s="138"/>
      <c r="Z16" s="138"/>
      <c r="AA16" s="138"/>
      <c r="AB16" s="182"/>
      <c r="AC16" s="182"/>
      <c r="AD16" s="182"/>
      <c r="AE16" s="182"/>
      <c r="AF16" s="182"/>
      <c r="AG16" s="182"/>
      <c r="AH16" s="182"/>
      <c r="AI16" s="182"/>
    </row>
    <row r="17" spans="1:35">
      <c r="A17" s="15"/>
      <c r="B17" s="29" t="s">
        <v>284</v>
      </c>
      <c r="C17" s="336">
        <v>0</v>
      </c>
      <c r="D17" s="11">
        <v>13233.5</v>
      </c>
      <c r="E17" s="11">
        <v>24833.33</v>
      </c>
      <c r="F17" s="337">
        <v>1560</v>
      </c>
      <c r="G17" s="138">
        <v>255</v>
      </c>
      <c r="H17" s="138">
        <v>416.61</v>
      </c>
      <c r="I17" s="138">
        <v>28848.73</v>
      </c>
      <c r="J17" s="398">
        <v>7500</v>
      </c>
      <c r="K17" s="366">
        <f>SUM(C17:F17)</f>
        <v>39626.83</v>
      </c>
      <c r="L17" s="138">
        <f>SUM(G17:J17)</f>
        <v>37020.339999999997</v>
      </c>
      <c r="M17" s="138">
        <v>100000</v>
      </c>
      <c r="N17" s="404">
        <v>50000</v>
      </c>
      <c r="O17" s="371">
        <f>L17-K17</f>
        <v>-2606.4900000000052</v>
      </c>
      <c r="P17" s="178">
        <f>L17-M17</f>
        <v>-62979.66</v>
      </c>
      <c r="Q17" s="372">
        <f>N17-L17</f>
        <v>12979.660000000003</v>
      </c>
      <c r="S17" s="385">
        <f>K17/K$31</f>
        <v>4.8438305631630235E-2</v>
      </c>
      <c r="T17" s="290">
        <f>L17/L$31</f>
        <v>3.4537204451310317E-2</v>
      </c>
      <c r="U17" s="386">
        <f>N17/N$31</f>
        <v>2.9511478784788131E-2</v>
      </c>
      <c r="V17" s="264"/>
      <c r="W17" s="126" t="s">
        <v>284</v>
      </c>
      <c r="X17" s="138">
        <v>39626.83</v>
      </c>
      <c r="Y17" s="138">
        <v>34520.339999999997</v>
      </c>
      <c r="Z17" s="138">
        <f t="shared" ref="Z17:Z26" si="13">Y17-AA17</f>
        <v>29520.339999999997</v>
      </c>
      <c r="AA17" s="138">
        <v>5000</v>
      </c>
      <c r="AB17" s="179">
        <f>C17/C$31</f>
        <v>0</v>
      </c>
      <c r="AC17" s="179">
        <f>D17/D$31</f>
        <v>6.7479734535688077E-2</v>
      </c>
      <c r="AD17" s="179">
        <f>E17/E$31</f>
        <v>7.3963470816849897E-2</v>
      </c>
      <c r="AE17" s="179">
        <f>F17/F$31</f>
        <v>8.122636397419147E-3</v>
      </c>
      <c r="AF17" s="179">
        <f>G17/G$31</f>
        <v>3.1423863306441076E-3</v>
      </c>
      <c r="AG17" s="179">
        <f>H17/H$31</f>
        <v>1.6977367585009093E-3</v>
      </c>
      <c r="AH17" s="179">
        <f>I17/I$31</f>
        <v>5.1695925907535051E-2</v>
      </c>
      <c r="AI17" s="179">
        <f>J17/J$31</f>
        <v>4.0040360683569039E-2</v>
      </c>
    </row>
    <row r="18" spans="1:35">
      <c r="A18" s="15"/>
      <c r="B18" s="29" t="s">
        <v>424</v>
      </c>
      <c r="C18" s="336">
        <v>0</v>
      </c>
      <c r="D18" s="11">
        <v>0</v>
      </c>
      <c r="E18" s="11">
        <v>0</v>
      </c>
      <c r="F18" s="337">
        <v>0</v>
      </c>
      <c r="G18" s="138">
        <v>0</v>
      </c>
      <c r="H18" s="138">
        <v>0</v>
      </c>
      <c r="I18" s="138">
        <v>0</v>
      </c>
      <c r="J18" s="398">
        <v>0</v>
      </c>
      <c r="K18" s="366">
        <f>SUM(C18:F18)</f>
        <v>0</v>
      </c>
      <c r="L18" s="138">
        <f>SUM(G18:J18)</f>
        <v>0</v>
      </c>
      <c r="M18" s="138">
        <v>50000</v>
      </c>
      <c r="N18" s="404">
        <v>50000</v>
      </c>
      <c r="O18" s="371">
        <f>L18-K18</f>
        <v>0</v>
      </c>
      <c r="P18" s="178">
        <f>L18-M18</f>
        <v>-50000</v>
      </c>
      <c r="Q18" s="372">
        <f>N18-L18</f>
        <v>50000</v>
      </c>
      <c r="S18" s="385">
        <f>K18/K$31</f>
        <v>0</v>
      </c>
      <c r="T18" s="290">
        <f>L18/L$31</f>
        <v>0</v>
      </c>
      <c r="U18" s="386">
        <f>N18/N$31</f>
        <v>2.9511478784788131E-2</v>
      </c>
      <c r="V18" s="264"/>
      <c r="W18" s="126" t="s">
        <v>424</v>
      </c>
      <c r="X18" s="138">
        <v>0</v>
      </c>
      <c r="Y18" s="138">
        <v>16.09</v>
      </c>
      <c r="Z18" s="138">
        <f t="shared" si="13"/>
        <v>0</v>
      </c>
      <c r="AA18" s="138">
        <v>16.09</v>
      </c>
      <c r="AB18" s="179">
        <f>C18/C$31</f>
        <v>0</v>
      </c>
      <c r="AC18" s="179">
        <f>D18/D$31</f>
        <v>0</v>
      </c>
      <c r="AD18" s="179">
        <f>E18/E$31</f>
        <v>0</v>
      </c>
      <c r="AE18" s="179">
        <f>F18/F$31</f>
        <v>0</v>
      </c>
      <c r="AF18" s="179">
        <f>G18/G$31</f>
        <v>0</v>
      </c>
      <c r="AG18" s="179">
        <f>H18/H$31</f>
        <v>0</v>
      </c>
      <c r="AH18" s="179">
        <f>I18/I$31</f>
        <v>0</v>
      </c>
      <c r="AI18" s="179">
        <f>J18/J$31</f>
        <v>0</v>
      </c>
    </row>
    <row r="19" spans="1:35">
      <c r="A19" s="15"/>
      <c r="B19" s="29" t="s">
        <v>285</v>
      </c>
      <c r="C19" s="336">
        <v>18000</v>
      </c>
      <c r="D19" s="11">
        <v>27250</v>
      </c>
      <c r="E19" s="11">
        <v>20000</v>
      </c>
      <c r="F19" s="337">
        <v>5000</v>
      </c>
      <c r="G19" s="138">
        <v>15500</v>
      </c>
      <c r="H19" s="138">
        <v>60174</v>
      </c>
      <c r="I19" s="138">
        <v>10000</v>
      </c>
      <c r="J19" s="398">
        <v>0</v>
      </c>
      <c r="K19" s="366">
        <f>SUM(C19:F19)</f>
        <v>70250</v>
      </c>
      <c r="L19" s="138">
        <f>SUM(G19:J19)</f>
        <v>85674</v>
      </c>
      <c r="M19" s="138">
        <v>100000</v>
      </c>
      <c r="N19" s="404">
        <v>100000</v>
      </c>
      <c r="O19" s="371">
        <f>L19-K19</f>
        <v>15424</v>
      </c>
      <c r="P19" s="178">
        <f>L19-M19</f>
        <v>-14326</v>
      </c>
      <c r="Q19" s="372">
        <f>N19-L19</f>
        <v>14326</v>
      </c>
      <c r="S19" s="385">
        <f>K19/K$31</f>
        <v>8.587088522150331E-2</v>
      </c>
      <c r="T19" s="290">
        <f>L19/L$31</f>
        <v>7.992742514416562E-2</v>
      </c>
      <c r="U19" s="386">
        <f>N19/N$31</f>
        <v>5.9022957569576262E-2</v>
      </c>
      <c r="V19" s="264"/>
      <c r="W19" s="126" t="s">
        <v>285</v>
      </c>
      <c r="X19" s="138">
        <v>70250</v>
      </c>
      <c r="Y19" s="138">
        <v>85674</v>
      </c>
      <c r="Z19" s="138">
        <f t="shared" si="13"/>
        <v>85674</v>
      </c>
      <c r="AA19" s="138">
        <v>0</v>
      </c>
      <c r="AB19" s="179">
        <f>C19/C$31</f>
        <v>0.19114203222845805</v>
      </c>
      <c r="AC19" s="179">
        <f>D19/D$31</f>
        <v>0.13895211139135527</v>
      </c>
      <c r="AD19" s="179">
        <f>E19/E$31</f>
        <v>5.9567903955570919E-2</v>
      </c>
      <c r="AE19" s="179">
        <f>F19/F$31</f>
        <v>2.603409101736906E-2</v>
      </c>
      <c r="AF19" s="179">
        <f>G19/G$31</f>
        <v>0.1910077965685634</v>
      </c>
      <c r="AG19" s="179">
        <f>H19/H$31</f>
        <v>0.24521641752726461</v>
      </c>
      <c r="AH19" s="179">
        <f>I19/I$31</f>
        <v>1.7919653970048268E-2</v>
      </c>
      <c r="AI19" s="179">
        <f>J19/J$31</f>
        <v>0</v>
      </c>
    </row>
    <row r="20" spans="1:35">
      <c r="A20" s="15"/>
      <c r="B20" s="29" t="s">
        <v>286</v>
      </c>
      <c r="C20" s="336">
        <v>1500</v>
      </c>
      <c r="D20" s="11">
        <v>14827</v>
      </c>
      <c r="E20" s="11">
        <v>3000</v>
      </c>
      <c r="F20" s="337">
        <v>0</v>
      </c>
      <c r="G20" s="138">
        <v>3000</v>
      </c>
      <c r="H20" s="138">
        <v>28000</v>
      </c>
      <c r="I20" s="138">
        <v>6750</v>
      </c>
      <c r="J20" s="398">
        <f>SUM(G20:I20)/SUM(AB20:AD20)*AE20</f>
        <v>0</v>
      </c>
      <c r="K20" s="366">
        <f>SUM(C20:F20)</f>
        <v>19327</v>
      </c>
      <c r="L20" s="138">
        <f>SUM(G20:J20)</f>
        <v>37750</v>
      </c>
      <c r="M20" s="138">
        <v>45000</v>
      </c>
      <c r="N20" s="404">
        <f>'2019 Prod Budget'!M78</f>
        <v>60000</v>
      </c>
      <c r="O20" s="371">
        <f>L20-K20</f>
        <v>18423</v>
      </c>
      <c r="P20" s="178">
        <f>L20-M20</f>
        <v>-7250</v>
      </c>
      <c r="Q20" s="372">
        <f>N20-L20</f>
        <v>22250</v>
      </c>
      <c r="S20" s="385">
        <f>K20/K$31</f>
        <v>2.3624577917096008E-2</v>
      </c>
      <c r="T20" s="290">
        <f>L20/L$31</f>
        <v>3.5217922580855945E-2</v>
      </c>
      <c r="U20" s="386">
        <f>N20/N$31</f>
        <v>3.5413774541745754E-2</v>
      </c>
      <c r="V20" s="264"/>
      <c r="W20" s="126" t="s">
        <v>286</v>
      </c>
      <c r="X20" s="138">
        <v>19327</v>
      </c>
      <c r="Y20" s="138">
        <v>37750</v>
      </c>
      <c r="Z20" s="138">
        <f t="shared" si="13"/>
        <v>37750</v>
      </c>
      <c r="AA20" s="138">
        <v>0</v>
      </c>
      <c r="AB20" s="179">
        <f>C20/C$31</f>
        <v>1.5928502685704837E-2</v>
      </c>
      <c r="AC20" s="179">
        <f>D20/D$31</f>
        <v>7.560524607705045E-2</v>
      </c>
      <c r="AD20" s="179">
        <f>E20/E$31</f>
        <v>8.9351855933356376E-3</v>
      </c>
      <c r="AE20" s="179">
        <f>F20/F$31</f>
        <v>0</v>
      </c>
      <c r="AF20" s="179">
        <f>G20/G$31</f>
        <v>3.6969250948754209E-2</v>
      </c>
      <c r="AG20" s="179">
        <f>H20/H$31</f>
        <v>0.1141034282375014</v>
      </c>
      <c r="AH20" s="179">
        <f>I20/I$31</f>
        <v>1.209576642978258E-2</v>
      </c>
      <c r="AI20" s="179">
        <f>J20/J$31</f>
        <v>0</v>
      </c>
    </row>
    <row r="21" spans="1:35">
      <c r="A21" s="15"/>
      <c r="B21" s="29" t="s">
        <v>287</v>
      </c>
      <c r="C21" s="336">
        <v>0</v>
      </c>
      <c r="D21" s="11">
        <v>30606.5</v>
      </c>
      <c r="E21" s="11">
        <v>6523.5</v>
      </c>
      <c r="F21" s="337">
        <v>0</v>
      </c>
      <c r="G21" s="138">
        <v>0</v>
      </c>
      <c r="H21" s="138">
        <v>36437.5</v>
      </c>
      <c r="I21" s="138">
        <v>76962.5</v>
      </c>
      <c r="J21" s="398">
        <f>SUM(G21:I21)/SUM(AB21:AD21)*AE21</f>
        <v>0</v>
      </c>
      <c r="K21" s="366">
        <f>SUM(C21:F21)</f>
        <v>37130</v>
      </c>
      <c r="L21" s="138">
        <f>SUM(G21:J21)</f>
        <v>113400</v>
      </c>
      <c r="M21" s="138">
        <v>70000</v>
      </c>
      <c r="N21" s="404">
        <f>'2019 Prod Budget'!K79</f>
        <v>120000</v>
      </c>
      <c r="O21" s="371">
        <f>L21-K21</f>
        <v>76270</v>
      </c>
      <c r="P21" s="178">
        <f>L21-M21</f>
        <v>43400</v>
      </c>
      <c r="Q21" s="372">
        <f>N21-L21</f>
        <v>6600</v>
      </c>
      <c r="S21" s="385">
        <f>K21/K$31</f>
        <v>4.5386277128461466E-2</v>
      </c>
      <c r="T21" s="290">
        <f>L21/L$31</f>
        <v>0.10579370650778978</v>
      </c>
      <c r="U21" s="386">
        <f>N21/N$31</f>
        <v>7.0827549083491509E-2</v>
      </c>
      <c r="V21" s="264"/>
      <c r="W21" s="126" t="s">
        <v>287</v>
      </c>
      <c r="X21" s="138">
        <v>37130</v>
      </c>
      <c r="Y21" s="138">
        <v>113400</v>
      </c>
      <c r="Z21" s="138">
        <f t="shared" si="13"/>
        <v>113400</v>
      </c>
      <c r="AA21" s="138">
        <v>0</v>
      </c>
      <c r="AB21" s="179">
        <f>C21/C$31</f>
        <v>0</v>
      </c>
      <c r="AC21" s="179">
        <f>D21/D$31</f>
        <v>0.15606744210273452</v>
      </c>
      <c r="AD21" s="179">
        <f>E21/E$31</f>
        <v>1.9429561072708344E-2</v>
      </c>
      <c r="AE21" s="179">
        <f>F21/F$31</f>
        <v>0</v>
      </c>
      <c r="AF21" s="179">
        <f>G21/G$31</f>
        <v>0</v>
      </c>
      <c r="AG21" s="179">
        <f>H21/H$31</f>
        <v>0.14848727380014132</v>
      </c>
      <c r="AH21" s="179">
        <f>I21/I$31</f>
        <v>0.13791413686698398</v>
      </c>
      <c r="AI21" s="179">
        <f>J21/J$31</f>
        <v>0</v>
      </c>
    </row>
    <row r="22" spans="1:35">
      <c r="A22" s="15"/>
      <c r="B22" s="29" t="s">
        <v>288</v>
      </c>
      <c r="C22" s="336">
        <v>10318.06</v>
      </c>
      <c r="D22" s="11">
        <v>1750</v>
      </c>
      <c r="E22" s="11">
        <v>0</v>
      </c>
      <c r="F22" s="337">
        <v>37251.5</v>
      </c>
      <c r="G22" s="138">
        <v>12620</v>
      </c>
      <c r="H22" s="138">
        <v>1312.39</v>
      </c>
      <c r="I22" s="138">
        <v>0</v>
      </c>
      <c r="J22" s="398">
        <v>40000</v>
      </c>
      <c r="K22" s="366">
        <f>SUM(C22:F22)</f>
        <v>49319.56</v>
      </c>
      <c r="L22" s="138">
        <f>SUM(G22:J22)</f>
        <v>53932.39</v>
      </c>
      <c r="M22" s="138">
        <v>75000</v>
      </c>
      <c r="N22" s="404">
        <v>75000</v>
      </c>
      <c r="O22" s="371">
        <f>L22-K22</f>
        <v>4612.8300000000017</v>
      </c>
      <c r="P22" s="178">
        <f>L22-M22</f>
        <v>-21067.61</v>
      </c>
      <c r="Q22" s="372">
        <f>N22-L22</f>
        <v>21067.61</v>
      </c>
      <c r="S22" s="385">
        <f>K22/K$31</f>
        <v>6.0286324212598517E-2</v>
      </c>
      <c r="T22" s="290">
        <f>L22/L$31</f>
        <v>5.0314880413788857E-2</v>
      </c>
      <c r="U22" s="386">
        <f>N22/N$31</f>
        <v>4.4267218177182197E-2</v>
      </c>
      <c r="V22" s="264"/>
      <c r="W22" s="126" t="s">
        <v>288</v>
      </c>
      <c r="X22" s="138">
        <v>49319.56</v>
      </c>
      <c r="Y22" s="138">
        <v>13932.39</v>
      </c>
      <c r="Z22" s="138">
        <f t="shared" si="13"/>
        <v>13932.39</v>
      </c>
      <c r="AA22" s="138">
        <v>0</v>
      </c>
      <c r="AB22" s="179">
        <f>C22/C$31</f>
        <v>0.10956749761417577</v>
      </c>
      <c r="AC22" s="179">
        <f>D22/D$31</f>
        <v>8.9235300893530916E-3</v>
      </c>
      <c r="AD22" s="179">
        <f>E22/E$31</f>
        <v>0</v>
      </c>
      <c r="AE22" s="179">
        <f>F22/F$31</f>
        <v>0.19396178830670471</v>
      </c>
      <c r="AF22" s="179">
        <f>G22/G$31</f>
        <v>0.15551731565775936</v>
      </c>
      <c r="AG22" s="179">
        <f>H22/H$31</f>
        <v>5.3481499351648023E-3</v>
      </c>
      <c r="AH22" s="179">
        <f>I22/I$31</f>
        <v>0</v>
      </c>
      <c r="AI22" s="179">
        <f>J22/J$31</f>
        <v>0.2135485903123682</v>
      </c>
    </row>
    <row r="23" spans="1:35">
      <c r="A23" s="15"/>
      <c r="B23" s="29" t="s">
        <v>289</v>
      </c>
      <c r="C23" s="336">
        <v>20000</v>
      </c>
      <c r="D23" s="11">
        <v>50000</v>
      </c>
      <c r="E23" s="11">
        <v>30000</v>
      </c>
      <c r="F23" s="337">
        <v>25000</v>
      </c>
      <c r="G23" s="138">
        <v>0</v>
      </c>
      <c r="H23" s="138">
        <v>35000</v>
      </c>
      <c r="I23" s="138">
        <v>55000</v>
      </c>
      <c r="J23" s="398">
        <v>25000</v>
      </c>
      <c r="K23" s="366">
        <f>SUM(C23:F23)</f>
        <v>125000</v>
      </c>
      <c r="L23" s="138">
        <f>SUM(G23:J23)</f>
        <v>115000</v>
      </c>
      <c r="M23" s="138">
        <v>174701.37</v>
      </c>
      <c r="N23" s="404">
        <f>'2019 Prod Budget'!K80</f>
        <v>210000</v>
      </c>
      <c r="O23" s="371">
        <f>L23-K23</f>
        <v>-10000</v>
      </c>
      <c r="P23" s="178">
        <f>L23-M23</f>
        <v>-59701.369999999995</v>
      </c>
      <c r="Q23" s="372">
        <f>N23-L23</f>
        <v>95000</v>
      </c>
      <c r="S23" s="385">
        <f>K23/K$31</f>
        <v>0.15279516943327992</v>
      </c>
      <c r="T23" s="290">
        <f>L23/L$31</f>
        <v>0.10728638667015718</v>
      </c>
      <c r="U23" s="386">
        <f>N23/N$31</f>
        <v>0.12394821089611015</v>
      </c>
      <c r="V23" s="264"/>
      <c r="W23" s="126" t="s">
        <v>289</v>
      </c>
      <c r="X23" s="138">
        <v>125000</v>
      </c>
      <c r="Y23" s="138">
        <v>105000</v>
      </c>
      <c r="Z23" s="138">
        <f t="shared" si="13"/>
        <v>90000</v>
      </c>
      <c r="AA23" s="138">
        <v>15000</v>
      </c>
      <c r="AB23" s="179">
        <f>C23/C$31</f>
        <v>0.21238003580939785</v>
      </c>
      <c r="AC23" s="179">
        <f>D23/D$31</f>
        <v>0.25495800255294548</v>
      </c>
      <c r="AD23" s="179">
        <f>E23/E$31</f>
        <v>8.9351855933356372E-2</v>
      </c>
      <c r="AE23" s="179">
        <f>F23/F$31</f>
        <v>0.1301704550868453</v>
      </c>
      <c r="AF23" s="179">
        <f>G23/G$31</f>
        <v>0</v>
      </c>
      <c r="AG23" s="179">
        <f>H23/H$31</f>
        <v>0.14262928529687674</v>
      </c>
      <c r="AH23" s="179">
        <f>I23/I$31</f>
        <v>9.8558096835265466E-2</v>
      </c>
      <c r="AI23" s="179">
        <f>J23/J$31</f>
        <v>0.13346786894523013</v>
      </c>
    </row>
    <row r="24" spans="1:35">
      <c r="A24" s="15"/>
      <c r="B24" s="29" t="s">
        <v>290</v>
      </c>
      <c r="C24" s="336">
        <v>0</v>
      </c>
      <c r="D24" s="11">
        <v>0</v>
      </c>
      <c r="E24" s="11">
        <v>0</v>
      </c>
      <c r="F24" s="337">
        <v>0</v>
      </c>
      <c r="G24" s="138">
        <v>0</v>
      </c>
      <c r="H24" s="138">
        <v>15000</v>
      </c>
      <c r="I24" s="138">
        <v>40000</v>
      </c>
      <c r="J24" s="398">
        <v>0</v>
      </c>
      <c r="K24" s="366">
        <f>SUM(C24:F24)</f>
        <v>0</v>
      </c>
      <c r="L24" s="138">
        <f>SUM(G24:J24)</f>
        <v>55000</v>
      </c>
      <c r="M24" s="138">
        <v>57500</v>
      </c>
      <c r="N24" s="404">
        <v>0</v>
      </c>
      <c r="O24" s="371">
        <f>L24-K24</f>
        <v>55000</v>
      </c>
      <c r="P24" s="178">
        <f>L24-M24</f>
        <v>-2500</v>
      </c>
      <c r="Q24" s="372">
        <f>N24-L24</f>
        <v>-55000</v>
      </c>
      <c r="S24" s="385">
        <f>K24/K$31</f>
        <v>0</v>
      </c>
      <c r="T24" s="290">
        <f>L24/L$31</f>
        <v>5.1310880581379524E-2</v>
      </c>
      <c r="U24" s="386">
        <f>N24/N$31</f>
        <v>0</v>
      </c>
      <c r="V24" s="264"/>
      <c r="W24" s="126" t="s">
        <v>290</v>
      </c>
      <c r="X24" s="138">
        <v>0</v>
      </c>
      <c r="Y24" s="138">
        <v>55000</v>
      </c>
      <c r="Z24" s="138">
        <f t="shared" si="13"/>
        <v>55000</v>
      </c>
      <c r="AA24" s="138">
        <v>0</v>
      </c>
      <c r="AB24" s="179">
        <f>C24/C$31</f>
        <v>0</v>
      </c>
      <c r="AC24" s="179">
        <f>D24/D$31</f>
        <v>0</v>
      </c>
      <c r="AD24" s="179">
        <f>E24/E$31</f>
        <v>0</v>
      </c>
      <c r="AE24" s="179">
        <f>F24/F$31</f>
        <v>0</v>
      </c>
      <c r="AF24" s="179">
        <f>G24/G$31</f>
        <v>0</v>
      </c>
      <c r="AG24" s="179">
        <f>H24/H$31</f>
        <v>6.1126836555804323E-2</v>
      </c>
      <c r="AH24" s="179">
        <f>I24/I$31</f>
        <v>7.1678615880193072E-2</v>
      </c>
      <c r="AI24" s="179">
        <f>J24/J$31</f>
        <v>0</v>
      </c>
    </row>
    <row r="25" spans="1:35">
      <c r="A25" s="15"/>
      <c r="B25" s="29" t="s">
        <v>291</v>
      </c>
      <c r="C25" s="336">
        <v>12500</v>
      </c>
      <c r="D25" s="11">
        <v>14500</v>
      </c>
      <c r="E25" s="11">
        <v>3997</v>
      </c>
      <c r="F25" s="337">
        <v>84650</v>
      </c>
      <c r="G25" s="138">
        <v>17500</v>
      </c>
      <c r="H25" s="138">
        <v>4050</v>
      </c>
      <c r="I25" s="138">
        <v>12800</v>
      </c>
      <c r="J25" s="398">
        <v>40000</v>
      </c>
      <c r="K25" s="366">
        <f>SUM(C25:F25)</f>
        <v>115647</v>
      </c>
      <c r="L25" s="138">
        <f>SUM(G25:J25)</f>
        <v>74350</v>
      </c>
      <c r="M25" s="138">
        <v>120000</v>
      </c>
      <c r="N25" s="404">
        <f>'2019 Prod Budget'!L82</f>
        <v>75000</v>
      </c>
      <c r="O25" s="371">
        <f>L25-K25</f>
        <v>-41297</v>
      </c>
      <c r="P25" s="178">
        <f>L25-M25</f>
        <v>-45650</v>
      </c>
      <c r="Q25" s="372">
        <f>N25-L25</f>
        <v>650</v>
      </c>
      <c r="S25" s="385">
        <f>K25/K$31</f>
        <v>0.14136242367560417</v>
      </c>
      <c r="T25" s="290">
        <f>L25/L$31</f>
        <v>6.9362981295010312E-2</v>
      </c>
      <c r="U25" s="386">
        <f>N25/N$31</f>
        <v>4.4267218177182197E-2</v>
      </c>
      <c r="V25" s="264"/>
      <c r="W25" s="126" t="s">
        <v>291</v>
      </c>
      <c r="X25" s="138">
        <v>115647</v>
      </c>
      <c r="Y25" s="138">
        <v>34350</v>
      </c>
      <c r="Z25" s="138">
        <f t="shared" si="13"/>
        <v>34350</v>
      </c>
      <c r="AA25" s="138">
        <v>0</v>
      </c>
      <c r="AB25" s="179">
        <f>C25/C$31</f>
        <v>0.13273752238087366</v>
      </c>
      <c r="AC25" s="179">
        <f>D25/D$31</f>
        <v>7.3937820740354182E-2</v>
      </c>
      <c r="AD25" s="179">
        <f>E25/E$31</f>
        <v>1.1904645605520847E-2</v>
      </c>
      <c r="AE25" s="179">
        <f>F25/F$31</f>
        <v>0.4407571609240582</v>
      </c>
      <c r="AF25" s="179">
        <f>G25/G$31</f>
        <v>0.21565396386773289</v>
      </c>
      <c r="AG25" s="179">
        <f>H25/H$31</f>
        <v>1.6504245870067165E-2</v>
      </c>
      <c r="AH25" s="179">
        <f>I25/I$31</f>
        <v>2.2937157081661781E-2</v>
      </c>
      <c r="AI25" s="179">
        <f>J25/J$31</f>
        <v>0.2135485903123682</v>
      </c>
    </row>
    <row r="26" spans="1:35">
      <c r="A26" s="15"/>
      <c r="B26" s="29" t="s">
        <v>292</v>
      </c>
      <c r="C26" s="336">
        <v>25000</v>
      </c>
      <c r="D26" s="11">
        <v>100</v>
      </c>
      <c r="E26" s="11">
        <v>51000</v>
      </c>
      <c r="F26" s="337">
        <v>0</v>
      </c>
      <c r="G26" s="138">
        <v>25000</v>
      </c>
      <c r="H26" s="138">
        <v>0</v>
      </c>
      <c r="I26" s="138">
        <v>100000</v>
      </c>
      <c r="J26" s="398">
        <v>25000</v>
      </c>
      <c r="K26" s="366">
        <f>SUM(C26:F26)</f>
        <v>76100</v>
      </c>
      <c r="L26" s="138">
        <f>SUM(G26:J26)</f>
        <v>150000</v>
      </c>
      <c r="M26" s="138">
        <v>500000</v>
      </c>
      <c r="N26" s="404">
        <v>500000</v>
      </c>
      <c r="O26" s="371">
        <f>L26-K26</f>
        <v>73900</v>
      </c>
      <c r="P26" s="178">
        <f>L26-M26</f>
        <v>-350000</v>
      </c>
      <c r="Q26" s="372">
        <f>N26-L26</f>
        <v>350000</v>
      </c>
      <c r="S26" s="385">
        <f>K26/K$31</f>
        <v>9.3021699150980811E-2</v>
      </c>
      <c r="T26" s="290">
        <f>L26/L$31</f>
        <v>0.13993876522194415</v>
      </c>
      <c r="U26" s="386">
        <f>N26/N$31</f>
        <v>0.29511478784788131</v>
      </c>
      <c r="V26" s="264"/>
      <c r="W26" s="126" t="s">
        <v>292</v>
      </c>
      <c r="X26" s="138">
        <v>76100</v>
      </c>
      <c r="Y26" s="138">
        <v>125000</v>
      </c>
      <c r="Z26" s="138">
        <f t="shared" si="13"/>
        <v>125000</v>
      </c>
      <c r="AA26" s="138">
        <v>0</v>
      </c>
      <c r="AB26" s="179">
        <f>C26/C$31</f>
        <v>0.26547504476174733</v>
      </c>
      <c r="AC26" s="179">
        <f>D26/D$31</f>
        <v>5.0991600510589088E-4</v>
      </c>
      <c r="AD26" s="179">
        <f>E26/E$31</f>
        <v>0.15189815508670584</v>
      </c>
      <c r="AE26" s="179">
        <f>F26/F$31</f>
        <v>0</v>
      </c>
      <c r="AF26" s="179">
        <f>G26/G$31</f>
        <v>0.30807709123961841</v>
      </c>
      <c r="AG26" s="179">
        <f>H26/H$31</f>
        <v>0</v>
      </c>
      <c r="AH26" s="179">
        <f>I26/I$31</f>
        <v>0.17919653970048266</v>
      </c>
      <c r="AI26" s="179">
        <f>J26/J$31</f>
        <v>0.13346786894523013</v>
      </c>
    </row>
    <row r="27" spans="1:35" s="3" customFormat="1">
      <c r="A27" s="65" t="s">
        <v>294</v>
      </c>
      <c r="B27" s="112"/>
      <c r="C27" s="338">
        <f>SUM(C17:C26)</f>
        <v>87318.06</v>
      </c>
      <c r="D27" s="180">
        <f>SUM(D17:D26)</f>
        <v>152267</v>
      </c>
      <c r="E27" s="180">
        <f>SUM(E17:E26)</f>
        <v>139353.83000000002</v>
      </c>
      <c r="F27" s="339">
        <f>SUM(F17:F26)</f>
        <v>153461.5</v>
      </c>
      <c r="G27" s="180">
        <f>SUM(G17:G26)</f>
        <v>73875</v>
      </c>
      <c r="H27" s="180">
        <f>SUM(H17:H26)</f>
        <v>180390.5</v>
      </c>
      <c r="I27" s="180">
        <f>SUM(I17:I26)</f>
        <v>330361.23</v>
      </c>
      <c r="J27" s="309">
        <f>SUM(J17:J26)</f>
        <v>137500</v>
      </c>
      <c r="K27" s="338">
        <f>SUM(K17:K26)</f>
        <v>532400.39</v>
      </c>
      <c r="L27" s="140">
        <f>SUM(L17:L26)</f>
        <v>722126.73</v>
      </c>
      <c r="M27" s="140">
        <f>SUM(M17:M26)</f>
        <v>1292201.3700000001</v>
      </c>
      <c r="N27" s="341">
        <f>SUM(N17:N26)</f>
        <v>1240000</v>
      </c>
      <c r="O27" s="338">
        <f t="shared" ref="O27:Q27" si="14">SUM(O17:O26)</f>
        <v>189726.34</v>
      </c>
      <c r="P27" s="180">
        <f t="shared" si="14"/>
        <v>-570074.64</v>
      </c>
      <c r="Q27" s="339">
        <f t="shared" si="14"/>
        <v>517873.27</v>
      </c>
      <c r="R27"/>
      <c r="S27" s="387">
        <f>K27/K$31</f>
        <v>0.65078566237115443</v>
      </c>
      <c r="T27" s="291">
        <f>L27/L$31</f>
        <v>0.67369015286640166</v>
      </c>
      <c r="U27" s="388">
        <f>N27/N$31</f>
        <v>0.73188467386274569</v>
      </c>
      <c r="V27" s="264"/>
      <c r="W27" s="173" t="s">
        <v>294</v>
      </c>
      <c r="X27" s="140">
        <f t="shared" ref="X27" si="15">SUM(X17:X26)</f>
        <v>532400.39</v>
      </c>
      <c r="Y27" s="140">
        <f t="shared" ref="Y27" si="16">SUM(Y17:Y26)</f>
        <v>604642.82000000007</v>
      </c>
      <c r="Z27" s="140">
        <f t="shared" ref="Z27" si="17">SUM(Z17:Z26)</f>
        <v>584626.73</v>
      </c>
      <c r="AA27" s="140">
        <f t="shared" ref="AA27" si="18">SUM(AA17:AA26)</f>
        <v>20016.09</v>
      </c>
      <c r="AB27" s="182">
        <f>C27/C$31</f>
        <v>0.92723063548035745</v>
      </c>
      <c r="AC27" s="182">
        <f>D27/D$31</f>
        <v>0.7764338034945869</v>
      </c>
      <c r="AD27" s="182">
        <f>E27/E$31</f>
        <v>0.41505077806404789</v>
      </c>
      <c r="AE27" s="182">
        <f>F27/F$31</f>
        <v>0.79904613173239647</v>
      </c>
      <c r="AF27" s="182">
        <f>G27/G$31</f>
        <v>0.91036780461307243</v>
      </c>
      <c r="AG27" s="182">
        <f>H27/H$31</f>
        <v>0.73511337398132126</v>
      </c>
      <c r="AH27" s="182">
        <f>I27/I$31</f>
        <v>0.59199589267195285</v>
      </c>
      <c r="AI27" s="182">
        <f>J27/J$31</f>
        <v>0.73407327919876564</v>
      </c>
    </row>
    <row r="28" spans="1:35">
      <c r="A28" s="15"/>
      <c r="B28" s="29" t="s">
        <v>295</v>
      </c>
      <c r="C28" s="336">
        <v>0</v>
      </c>
      <c r="D28" s="11">
        <v>0</v>
      </c>
      <c r="E28" s="11">
        <v>0</v>
      </c>
      <c r="F28" s="337">
        <v>0</v>
      </c>
      <c r="G28" s="138">
        <v>0</v>
      </c>
      <c r="H28" s="138">
        <v>0</v>
      </c>
      <c r="I28" s="138">
        <v>5500</v>
      </c>
      <c r="J28" s="398">
        <v>0</v>
      </c>
      <c r="K28" s="366">
        <v>0</v>
      </c>
      <c r="L28" s="138">
        <f>SUM(G28:J28)</f>
        <v>5500</v>
      </c>
      <c r="M28" s="138">
        <v>55000</v>
      </c>
      <c r="N28" s="404">
        <v>25000</v>
      </c>
      <c r="O28" s="371">
        <f>L28-K28</f>
        <v>5500</v>
      </c>
      <c r="P28" s="178">
        <f>L28-M28</f>
        <v>-49500</v>
      </c>
      <c r="Q28" s="372">
        <f>N28-L28</f>
        <v>19500</v>
      </c>
      <c r="S28" s="385">
        <f>K28/K$31</f>
        <v>0</v>
      </c>
      <c r="T28" s="290">
        <f>L28/L$31</f>
        <v>5.1310880581379526E-3</v>
      </c>
      <c r="U28" s="386">
        <f>N28/N$31</f>
        <v>1.4755739392394066E-2</v>
      </c>
      <c r="V28" s="264"/>
      <c r="W28" s="126" t="s">
        <v>295</v>
      </c>
      <c r="X28" s="138">
        <v>0</v>
      </c>
      <c r="Y28" s="138">
        <v>5500</v>
      </c>
      <c r="Z28" s="138">
        <f>Y28-AA28</f>
        <v>5500</v>
      </c>
      <c r="AA28" s="138">
        <v>0</v>
      </c>
      <c r="AB28" s="179">
        <f>C28/C$31</f>
        <v>0</v>
      </c>
      <c r="AC28" s="179">
        <f>D28/D$31</f>
        <v>0</v>
      </c>
      <c r="AD28" s="179">
        <f>E28/E$31</f>
        <v>0</v>
      </c>
      <c r="AE28" s="179">
        <f>F28/F$31</f>
        <v>0</v>
      </c>
      <c r="AF28" s="179">
        <f>G28/G$31</f>
        <v>0</v>
      </c>
      <c r="AG28" s="179">
        <f>H28/H$31</f>
        <v>0</v>
      </c>
      <c r="AH28" s="179">
        <f>I28/I$31</f>
        <v>9.8558096835265462E-3</v>
      </c>
      <c r="AI28" s="179">
        <f>J28/J$31</f>
        <v>0</v>
      </c>
    </row>
    <row r="29" spans="1:35" s="3" customFormat="1">
      <c r="A29" s="65" t="s">
        <v>296</v>
      </c>
      <c r="B29" s="112"/>
      <c r="C29" s="338">
        <f>C27+C28</f>
        <v>87318.06</v>
      </c>
      <c r="D29" s="180">
        <f t="shared" ref="D29:F29" si="19">D27+D28</f>
        <v>152267</v>
      </c>
      <c r="E29" s="180">
        <f t="shared" si="19"/>
        <v>139353.83000000002</v>
      </c>
      <c r="F29" s="339">
        <f t="shared" si="19"/>
        <v>153461.5</v>
      </c>
      <c r="G29" s="180">
        <f>G27+G28</f>
        <v>73875</v>
      </c>
      <c r="H29" s="180">
        <f t="shared" ref="H29" si="20">H27+H28</f>
        <v>180390.5</v>
      </c>
      <c r="I29" s="180">
        <f t="shared" ref="I29" si="21">I27+I28</f>
        <v>335861.23</v>
      </c>
      <c r="J29" s="309">
        <f t="shared" ref="J29" si="22">J27+J28</f>
        <v>137500</v>
      </c>
      <c r="K29" s="338">
        <f t="shared" ref="K29" si="23">K27+K28</f>
        <v>532400.39</v>
      </c>
      <c r="L29" s="140">
        <f t="shared" ref="L29" si="24">L27+L28</f>
        <v>727626.73</v>
      </c>
      <c r="M29" s="140">
        <f t="shared" ref="M29" si="25">M27+M28</f>
        <v>1347201.37</v>
      </c>
      <c r="N29" s="341">
        <f t="shared" ref="N29" si="26">N27+N28</f>
        <v>1265000</v>
      </c>
      <c r="O29" s="338">
        <f t="shared" ref="O29" si="27">O27+O28</f>
        <v>195226.34</v>
      </c>
      <c r="P29" s="180">
        <f t="shared" ref="P29" si="28">P27+P28</f>
        <v>-619574.64</v>
      </c>
      <c r="Q29" s="339">
        <f t="shared" ref="Q29" si="29">Q27+Q28</f>
        <v>537373.27</v>
      </c>
      <c r="R29"/>
      <c r="S29" s="387">
        <f>K29/K$31</f>
        <v>0.65078566237115443</v>
      </c>
      <c r="T29" s="291">
        <f>L29/L$31</f>
        <v>0.67882124092453966</v>
      </c>
      <c r="U29" s="388">
        <f>N29/N$31</f>
        <v>0.74664041325513975</v>
      </c>
      <c r="V29" s="264"/>
      <c r="W29" s="173" t="s">
        <v>296</v>
      </c>
      <c r="X29" s="140">
        <f t="shared" ref="X29" si="30">X27+X28</f>
        <v>532400.39</v>
      </c>
      <c r="Y29" s="140">
        <f t="shared" ref="Y29" si="31">Y27+Y28</f>
        <v>610142.82000000007</v>
      </c>
      <c r="Z29" s="140">
        <f t="shared" ref="Z29" si="32">Z27+Z28</f>
        <v>590126.73</v>
      </c>
      <c r="AA29" s="140">
        <f t="shared" ref="AA29" si="33">AA27+AA28</f>
        <v>20016.09</v>
      </c>
      <c r="AB29" s="182">
        <f>C29/C$31</f>
        <v>0.92723063548035745</v>
      </c>
      <c r="AC29" s="182">
        <f>D29/D$31</f>
        <v>0.7764338034945869</v>
      </c>
      <c r="AD29" s="182">
        <f>E29/E$31</f>
        <v>0.41505077806404789</v>
      </c>
      <c r="AE29" s="182">
        <f>F29/F$31</f>
        <v>0.79904613173239647</v>
      </c>
      <c r="AF29" s="182">
        <f>G29/G$31</f>
        <v>0.91036780461307243</v>
      </c>
      <c r="AG29" s="182">
        <f>H29/H$31</f>
        <v>0.73511337398132126</v>
      </c>
      <c r="AH29" s="182">
        <f>I29/I$31</f>
        <v>0.60185170235547936</v>
      </c>
      <c r="AI29" s="182">
        <f>J29/J$31</f>
        <v>0.73407327919876564</v>
      </c>
    </row>
    <row r="30" spans="1:35" s="3" customFormat="1">
      <c r="A30" s="65"/>
      <c r="B30" s="112"/>
      <c r="C30" s="338"/>
      <c r="D30" s="180"/>
      <c r="E30" s="180"/>
      <c r="F30" s="339"/>
      <c r="G30" s="140"/>
      <c r="H30" s="140"/>
      <c r="I30" s="140"/>
      <c r="J30" s="309"/>
      <c r="K30" s="367"/>
      <c r="L30" s="140"/>
      <c r="M30" s="140"/>
      <c r="N30" s="341"/>
      <c r="O30" s="373"/>
      <c r="P30" s="181"/>
      <c r="Q30" s="374"/>
      <c r="R30"/>
      <c r="S30" s="387"/>
      <c r="T30" s="291"/>
      <c r="U30" s="388"/>
      <c r="V30" s="265"/>
      <c r="W30" s="173"/>
      <c r="X30" s="274"/>
      <c r="Y30" s="274"/>
      <c r="Z30" s="274"/>
      <c r="AA30" s="274"/>
      <c r="AB30" s="182"/>
      <c r="AC30" s="182"/>
      <c r="AD30" s="182"/>
      <c r="AE30" s="182"/>
      <c r="AF30" s="182"/>
      <c r="AG30" s="182"/>
      <c r="AH30" s="182"/>
      <c r="AI30" s="182"/>
    </row>
    <row r="31" spans="1:35" s="3" customFormat="1">
      <c r="A31" s="307" t="s">
        <v>297</v>
      </c>
      <c r="B31" s="311"/>
      <c r="C31" s="340">
        <f>C13+C29</f>
        <v>94170.81</v>
      </c>
      <c r="D31" s="308">
        <f t="shared" ref="D31:Q31" si="34">D13+D29</f>
        <v>196110.73</v>
      </c>
      <c r="E31" s="308">
        <f t="shared" si="34"/>
        <v>335751.28</v>
      </c>
      <c r="F31" s="341">
        <f t="shared" si="34"/>
        <v>192055.87</v>
      </c>
      <c r="G31" s="308">
        <f t="shared" si="34"/>
        <v>81148.52</v>
      </c>
      <c r="H31" s="308">
        <f t="shared" si="34"/>
        <v>245391.4</v>
      </c>
      <c r="I31" s="308">
        <f t="shared" si="34"/>
        <v>558046.49</v>
      </c>
      <c r="J31" s="309">
        <f t="shared" si="34"/>
        <v>187311</v>
      </c>
      <c r="K31" s="340">
        <f t="shared" si="34"/>
        <v>818088.69</v>
      </c>
      <c r="L31" s="308">
        <f t="shared" si="34"/>
        <v>1071897.4099999999</v>
      </c>
      <c r="M31" s="308">
        <f t="shared" si="34"/>
        <v>1745201.37</v>
      </c>
      <c r="N31" s="341">
        <f t="shared" si="34"/>
        <v>1694256</v>
      </c>
      <c r="O31" s="340">
        <f t="shared" si="34"/>
        <v>253808.72</v>
      </c>
      <c r="P31" s="308">
        <f t="shared" si="34"/>
        <v>-673303.96</v>
      </c>
      <c r="Q31" s="341">
        <f t="shared" si="34"/>
        <v>622358.59000000008</v>
      </c>
      <c r="R31" s="407"/>
      <c r="S31" s="389">
        <f>K31/K$31</f>
        <v>1</v>
      </c>
      <c r="T31" s="312">
        <f>L31/L$31</f>
        <v>1</v>
      </c>
      <c r="U31" s="390">
        <f>N31/N$31</f>
        <v>1</v>
      </c>
      <c r="V31" s="265"/>
      <c r="W31" s="173" t="s">
        <v>509</v>
      </c>
      <c r="X31" s="140">
        <f>X13+X29</f>
        <v>818088.69</v>
      </c>
      <c r="Y31" s="140">
        <f t="shared" ref="Y31:AA31" si="35">Y13+Y29</f>
        <v>921441.37000000011</v>
      </c>
      <c r="Z31" s="140">
        <f t="shared" si="35"/>
        <v>884586.40999999992</v>
      </c>
      <c r="AA31" s="140">
        <f t="shared" si="35"/>
        <v>36854.959999999999</v>
      </c>
      <c r="AB31" s="182">
        <f>C31/C$31</f>
        <v>1</v>
      </c>
      <c r="AC31" s="182">
        <f>D31/D$31</f>
        <v>1</v>
      </c>
      <c r="AD31" s="182">
        <f>E31/E$31</f>
        <v>1</v>
      </c>
      <c r="AE31" s="182">
        <f>F31/F$31</f>
        <v>1</v>
      </c>
      <c r="AF31" s="182">
        <f>G31/G$31</f>
        <v>1</v>
      </c>
      <c r="AG31" s="182">
        <f>H31/H$31</f>
        <v>1</v>
      </c>
      <c r="AH31" s="182">
        <f>I31/I$31</f>
        <v>1</v>
      </c>
      <c r="AI31" s="182">
        <f>J31/J$31</f>
        <v>1</v>
      </c>
    </row>
    <row r="32" spans="1:35" s="3" customFormat="1">
      <c r="A32" s="183"/>
      <c r="B32" s="278"/>
      <c r="C32" s="342"/>
      <c r="D32" s="185"/>
      <c r="E32" s="185"/>
      <c r="F32" s="343"/>
      <c r="G32" s="186"/>
      <c r="H32" s="186"/>
      <c r="I32" s="186"/>
      <c r="J32" s="399"/>
      <c r="K32" s="368"/>
      <c r="L32" s="186"/>
      <c r="M32" s="186"/>
      <c r="N32" s="405"/>
      <c r="O32" s="375"/>
      <c r="P32" s="187"/>
      <c r="Q32" s="376"/>
      <c r="R32"/>
      <c r="S32" s="391"/>
      <c r="T32" s="292"/>
      <c r="U32" s="392"/>
      <c r="V32" s="265"/>
      <c r="W32" s="284"/>
      <c r="X32" s="285"/>
      <c r="Y32" s="285"/>
      <c r="Z32" s="285"/>
      <c r="AA32" s="285"/>
      <c r="AB32" s="182"/>
      <c r="AC32" s="182"/>
      <c r="AD32" s="182"/>
      <c r="AE32" s="182"/>
      <c r="AF32" s="182"/>
      <c r="AG32" s="182"/>
      <c r="AH32" s="182"/>
      <c r="AI32" s="182"/>
    </row>
    <row r="33" spans="1:35" s="3" customFormat="1">
      <c r="A33" s="275" t="s">
        <v>21</v>
      </c>
      <c r="B33" s="277"/>
      <c r="C33" s="344"/>
      <c r="D33" s="282"/>
      <c r="E33" s="282"/>
      <c r="F33" s="345"/>
      <c r="G33" s="137"/>
      <c r="H33" s="137"/>
      <c r="I33" s="137"/>
      <c r="J33" s="400"/>
      <c r="K33" s="369"/>
      <c r="L33" s="137"/>
      <c r="M33" s="137"/>
      <c r="N33" s="406"/>
      <c r="O33" s="377"/>
      <c r="P33" s="279"/>
      <c r="Q33" s="378"/>
      <c r="R33"/>
      <c r="S33" s="393"/>
      <c r="T33" s="293"/>
      <c r="U33" s="394"/>
      <c r="V33" s="265"/>
      <c r="W33" s="276" t="s">
        <v>21</v>
      </c>
      <c r="X33" s="141"/>
      <c r="Y33" s="141"/>
      <c r="Z33" s="141"/>
      <c r="AA33" s="141"/>
      <c r="AB33" s="182"/>
      <c r="AC33" s="182"/>
      <c r="AD33" s="182"/>
      <c r="AE33" s="182"/>
      <c r="AF33" s="182"/>
      <c r="AG33" s="182"/>
      <c r="AH33" s="182"/>
      <c r="AI33" s="182"/>
    </row>
    <row r="34" spans="1:35" s="3" customFormat="1">
      <c r="A34" s="65" t="s">
        <v>303</v>
      </c>
      <c r="B34" s="112"/>
      <c r="C34" s="338"/>
      <c r="D34" s="180"/>
      <c r="E34" s="180"/>
      <c r="F34" s="339"/>
      <c r="G34" s="140"/>
      <c r="H34" s="140"/>
      <c r="I34" s="140"/>
      <c r="J34" s="309"/>
      <c r="K34" s="367"/>
      <c r="L34" s="140"/>
      <c r="M34" s="140"/>
      <c r="N34" s="341"/>
      <c r="O34" s="373"/>
      <c r="P34" s="181"/>
      <c r="Q34" s="374"/>
      <c r="R34"/>
      <c r="S34" s="387"/>
      <c r="T34" s="291"/>
      <c r="U34" s="388"/>
      <c r="V34" s="265"/>
      <c r="W34" s="173" t="s">
        <v>303</v>
      </c>
      <c r="X34" s="138"/>
      <c r="Y34" s="138"/>
      <c r="Z34" s="138"/>
      <c r="AA34" s="138"/>
      <c r="AB34" s="182"/>
      <c r="AC34" s="182"/>
      <c r="AD34" s="182"/>
      <c r="AE34" s="182"/>
      <c r="AF34" s="182"/>
      <c r="AG34" s="182"/>
      <c r="AH34" s="182"/>
      <c r="AI34" s="182"/>
    </row>
    <row r="35" spans="1:35" s="3" customFormat="1">
      <c r="A35" s="65" t="s">
        <v>304</v>
      </c>
      <c r="B35" s="112"/>
      <c r="C35" s="338"/>
      <c r="D35" s="180"/>
      <c r="E35" s="180"/>
      <c r="F35" s="339"/>
      <c r="G35" s="140"/>
      <c r="H35" s="140"/>
      <c r="I35" s="140"/>
      <c r="J35" s="309"/>
      <c r="K35" s="367"/>
      <c r="L35" s="140"/>
      <c r="M35" s="140"/>
      <c r="N35" s="341"/>
      <c r="O35" s="373"/>
      <c r="P35" s="181"/>
      <c r="Q35" s="374"/>
      <c r="R35"/>
      <c r="S35" s="387"/>
      <c r="T35" s="291"/>
      <c r="U35" s="388"/>
      <c r="V35" s="265"/>
      <c r="W35" s="173" t="s">
        <v>304</v>
      </c>
      <c r="X35" s="138"/>
      <c r="Y35" s="138"/>
      <c r="Z35" s="138"/>
      <c r="AA35" s="138"/>
      <c r="AB35" s="182"/>
      <c r="AC35" s="182"/>
      <c r="AD35" s="182"/>
      <c r="AE35" s="182"/>
      <c r="AF35" s="182"/>
      <c r="AG35" s="182"/>
      <c r="AH35" s="182"/>
      <c r="AI35" s="182"/>
    </row>
    <row r="36" spans="1:35" s="3" customFormat="1">
      <c r="A36" s="65" t="s">
        <v>305</v>
      </c>
      <c r="B36" s="112"/>
      <c r="C36" s="338"/>
      <c r="D36" s="180"/>
      <c r="E36" s="180"/>
      <c r="F36" s="339"/>
      <c r="G36" s="140"/>
      <c r="H36" s="140"/>
      <c r="I36" s="140"/>
      <c r="J36" s="309"/>
      <c r="K36" s="367"/>
      <c r="L36" s="140"/>
      <c r="M36" s="140"/>
      <c r="N36" s="341"/>
      <c r="O36" s="373"/>
      <c r="P36" s="181"/>
      <c r="Q36" s="374"/>
      <c r="R36"/>
      <c r="S36" s="387"/>
      <c r="T36" s="291"/>
      <c r="U36" s="388"/>
      <c r="V36" s="265"/>
      <c r="W36" s="126" t="s">
        <v>305</v>
      </c>
      <c r="X36" s="138"/>
      <c r="Y36" s="138"/>
      <c r="Z36" s="138"/>
      <c r="AA36" s="138"/>
      <c r="AB36" s="182"/>
      <c r="AC36" s="182"/>
      <c r="AD36" s="182"/>
      <c r="AE36" s="182"/>
      <c r="AF36" s="182"/>
      <c r="AG36" s="182"/>
      <c r="AH36" s="182"/>
      <c r="AI36" s="182"/>
    </row>
    <row r="37" spans="1:35">
      <c r="A37" s="15"/>
      <c r="B37" s="29" t="s">
        <v>306</v>
      </c>
      <c r="C37" s="336">
        <v>0</v>
      </c>
      <c r="D37" s="11">
        <v>9673.34</v>
      </c>
      <c r="E37" s="11">
        <v>72201.55</v>
      </c>
      <c r="F37" s="337">
        <v>18476.96</v>
      </c>
      <c r="G37" s="138">
        <v>0</v>
      </c>
      <c r="H37" s="138">
        <v>11600.85</v>
      </c>
      <c r="I37" s="138">
        <v>92100.800000000003</v>
      </c>
      <c r="J37" s="170">
        <f>SUM(G37:I37)/9*2+AA37</f>
        <v>28896.041111111113</v>
      </c>
      <c r="K37" s="366">
        <f>SUM(C37:F37)</f>
        <v>100351.85</v>
      </c>
      <c r="L37" s="138">
        <f>SUM(G37:J37)</f>
        <v>132597.69111111111</v>
      </c>
      <c r="M37" s="138">
        <v>131561</v>
      </c>
      <c r="N37" s="404">
        <f>'2019 Prod Budget'!M39+Payroll!B24</f>
        <v>196791.66666666669</v>
      </c>
      <c r="O37" s="371">
        <f>L37-K37</f>
        <v>32245.841111111105</v>
      </c>
      <c r="P37" s="178">
        <f>L37-M37</f>
        <v>1036.6911111111112</v>
      </c>
      <c r="Q37" s="372">
        <f>L37-N37</f>
        <v>-64193.975555555575</v>
      </c>
      <c r="S37" s="385">
        <f>K37/K$31</f>
        <v>0.12266622338954473</v>
      </c>
      <c r="T37" s="290">
        <f>L37/L$31</f>
        <v>0.12370371443579765</v>
      </c>
      <c r="U37" s="386">
        <f>N37/N$31</f>
        <v>0.11615226191712863</v>
      </c>
      <c r="V37" s="264"/>
      <c r="W37" s="126" t="s">
        <v>306</v>
      </c>
      <c r="X37" s="138">
        <v>100351.85</v>
      </c>
      <c r="Y37" s="138">
        <v>109552.88</v>
      </c>
      <c r="Z37" s="138">
        <f>Y37-AA37</f>
        <v>103701.65000000001</v>
      </c>
      <c r="AA37" s="138">
        <v>5851.23</v>
      </c>
      <c r="AB37" s="179">
        <f>C37/C$31</f>
        <v>0</v>
      </c>
      <c r="AC37" s="179">
        <f>D37/D$31</f>
        <v>4.9325908888310191E-2</v>
      </c>
      <c r="AD37" s="179">
        <f>E37/E$31</f>
        <v>0.21504474979216756</v>
      </c>
      <c r="AE37" s="179">
        <f>F37/F$31</f>
        <v>9.6206171672857485E-2</v>
      </c>
      <c r="AF37" s="179">
        <f>G37/G$31</f>
        <v>0</v>
      </c>
      <c r="AG37" s="179">
        <f>H37/H$31</f>
        <v>4.7274884123893503E-2</v>
      </c>
      <c r="AH37" s="179">
        <f>I37/I$31</f>
        <v>0.16504144663646214</v>
      </c>
      <c r="AI37" s="179">
        <f>J37/J$31</f>
        <v>0.1542677211221504</v>
      </c>
    </row>
    <row r="38" spans="1:35">
      <c r="A38" s="15"/>
      <c r="B38" s="29" t="s">
        <v>307</v>
      </c>
      <c r="C38" s="336">
        <v>0</v>
      </c>
      <c r="D38" s="11">
        <v>3109.85</v>
      </c>
      <c r="E38" s="11">
        <v>37212.29</v>
      </c>
      <c r="F38" s="337">
        <v>8021.48</v>
      </c>
      <c r="G38" s="138">
        <v>0</v>
      </c>
      <c r="H38" s="138">
        <v>4121.75</v>
      </c>
      <c r="I38" s="138">
        <v>32300.99</v>
      </c>
      <c r="J38" s="170">
        <f>SUM(G38:I38)/9*2+AA38</f>
        <v>10760.472222222224</v>
      </c>
      <c r="K38" s="366">
        <f>SUM(C38:F38)</f>
        <v>48343.619999999995</v>
      </c>
      <c r="L38" s="138">
        <f>SUM(G38:J38)</f>
        <v>47183.212222222232</v>
      </c>
      <c r="M38" s="138">
        <v>43574</v>
      </c>
      <c r="N38" s="404">
        <f>'2019 Prod Budget'!M40+Payroll!C24</f>
        <v>20674.21</v>
      </c>
      <c r="O38" s="371">
        <f>L38-K38</f>
        <v>-1160.4077777777638</v>
      </c>
      <c r="P38" s="178">
        <f>L38-M38</f>
        <v>3609.2122222222315</v>
      </c>
      <c r="Q38" s="372">
        <f>L38-N38</f>
        <v>26509.002222222232</v>
      </c>
      <c r="S38" s="385">
        <f>K38/K$31</f>
        <v>5.9093372871344793E-2</v>
      </c>
      <c r="T38" s="290">
        <f>L38/L$31</f>
        <v>4.4018403050551484E-2</v>
      </c>
      <c r="U38" s="386">
        <f>N38/N$31</f>
        <v>1.2202530196145093E-2</v>
      </c>
      <c r="V38" s="264"/>
      <c r="W38" s="126" t="s">
        <v>307</v>
      </c>
      <c r="X38" s="138">
        <v>48343.62</v>
      </c>
      <c r="Y38" s="138">
        <v>39089.269999999997</v>
      </c>
      <c r="Z38" s="138">
        <f>Y38-AA38</f>
        <v>36422.74</v>
      </c>
      <c r="AA38" s="138">
        <v>2666.53</v>
      </c>
      <c r="AB38" s="179">
        <f>C38/C$31</f>
        <v>0</v>
      </c>
      <c r="AC38" s="179">
        <f>D38/D$31</f>
        <v>1.5857622884785549E-2</v>
      </c>
      <c r="AD38" s="179">
        <f>E38/E$31</f>
        <v>0.1108329058343426</v>
      </c>
      <c r="AE38" s="179">
        <f>F38/F$31</f>
        <v>4.1766388082801115E-2</v>
      </c>
      <c r="AF38" s="179">
        <f>G38/G$31</f>
        <v>0</v>
      </c>
      <c r="AG38" s="179">
        <f>H38/H$31</f>
        <v>1.6796635904925764E-2</v>
      </c>
      <c r="AH38" s="179">
        <f>I38/I$31</f>
        <v>5.7882256368998936E-2</v>
      </c>
      <c r="AI38" s="179">
        <f>J38/J$31</f>
        <v>5.74470918537738E-2</v>
      </c>
    </row>
    <row r="39" spans="1:35">
      <c r="A39" s="15"/>
      <c r="B39" s="29" t="s">
        <v>308</v>
      </c>
      <c r="C39" s="336">
        <v>32.090000000000003</v>
      </c>
      <c r="D39" s="11">
        <v>0</v>
      </c>
      <c r="E39" s="11">
        <v>24410.19</v>
      </c>
      <c r="F39" s="337">
        <v>-23434.33</v>
      </c>
      <c r="G39" s="138">
        <v>49.82</v>
      </c>
      <c r="H39" s="138">
        <v>0</v>
      </c>
      <c r="I39" s="138">
        <v>28122.99</v>
      </c>
      <c r="J39" s="170">
        <f>SUM(G39:I39)/9*2+AA39</f>
        <v>6260.6244444444446</v>
      </c>
      <c r="K39" s="366">
        <f>SUM(C39:F39)</f>
        <v>1007.9499999999971</v>
      </c>
      <c r="L39" s="138">
        <f>SUM(G39:J39)</f>
        <v>34433.434444444443</v>
      </c>
      <c r="M39" s="138"/>
      <c r="N39" s="404">
        <f>'2019 Prod Budget'!M41</f>
        <v>38045</v>
      </c>
      <c r="O39" s="371">
        <f>L39-K39</f>
        <v>33425.484444444446</v>
      </c>
      <c r="P39" s="178">
        <f>L39-M39</f>
        <v>34433.434444444443</v>
      </c>
      <c r="Q39" s="372">
        <f>L39-N39</f>
        <v>-3611.5655555555568</v>
      </c>
      <c r="S39" s="385">
        <f>K39/K$31</f>
        <v>1.2320791282421923E-3</v>
      </c>
      <c r="T39" s="290">
        <f>L39/L$31</f>
        <v>3.2123815323375438E-2</v>
      </c>
      <c r="U39" s="386">
        <f>N39/N$31</f>
        <v>2.2455284207345289E-2</v>
      </c>
      <c r="V39" s="264"/>
      <c r="W39" s="126" t="s">
        <v>308</v>
      </c>
      <c r="X39" s="138">
        <v>1007.95</v>
      </c>
      <c r="Y39" s="138">
        <v>28172.81</v>
      </c>
      <c r="Z39" s="138">
        <f>Y39-AA39</f>
        <v>28172.81</v>
      </c>
      <c r="AA39" s="138">
        <v>0</v>
      </c>
      <c r="AB39" s="179">
        <f>C39/C$31</f>
        <v>3.4076376745617885E-4</v>
      </c>
      <c r="AC39" s="179">
        <f>D39/D$31</f>
        <v>0</v>
      </c>
      <c r="AD39" s="179">
        <f>E39/E$31</f>
        <v>7.2703192672861877E-2</v>
      </c>
      <c r="AE39" s="179">
        <f>F39/F$31</f>
        <v>-0.12201829603021247</v>
      </c>
      <c r="AF39" s="179">
        <f>G39/G$31</f>
        <v>6.1393602742231153E-4</v>
      </c>
      <c r="AG39" s="179">
        <f>H39/H$31</f>
        <v>0</v>
      </c>
      <c r="AH39" s="179">
        <f>I39/I$31</f>
        <v>5.0395424940312773E-2</v>
      </c>
      <c r="AI39" s="179">
        <f>J39/J$31</f>
        <v>3.3423688114656611E-2</v>
      </c>
    </row>
    <row r="40" spans="1:35" s="3" customFormat="1">
      <c r="A40" s="65" t="s">
        <v>309</v>
      </c>
      <c r="B40" s="112"/>
      <c r="C40" s="338">
        <f>SUM(C37:C39)</f>
        <v>32.090000000000003</v>
      </c>
      <c r="D40" s="180">
        <f t="shared" ref="D40:F40" si="36">SUM(D37:D39)</f>
        <v>12783.19</v>
      </c>
      <c r="E40" s="180">
        <f t="shared" si="36"/>
        <v>133824.03</v>
      </c>
      <c r="F40" s="339">
        <f t="shared" si="36"/>
        <v>3064.1099999999969</v>
      </c>
      <c r="G40" s="180">
        <f>SUM(G37:G39)</f>
        <v>49.82</v>
      </c>
      <c r="H40" s="180">
        <f t="shared" ref="H40" si="37">SUM(H37:H39)</f>
        <v>15722.6</v>
      </c>
      <c r="I40" s="180">
        <f t="shared" ref="I40" si="38">SUM(I37:I39)</f>
        <v>152524.78</v>
      </c>
      <c r="J40" s="309">
        <f t="shared" ref="J40" si="39">SUM(J37:J39)</f>
        <v>45917.137777777782</v>
      </c>
      <c r="K40" s="338">
        <f t="shared" ref="K40" si="40">SUM(K37:K39)</f>
        <v>149703.41999999998</v>
      </c>
      <c r="L40" s="140">
        <f t="shared" ref="L40" si="41">SUM(L37:L39)</f>
        <v>214214.33777777781</v>
      </c>
      <c r="M40" s="140">
        <f t="shared" ref="M40" si="42">SUM(M37:M39)</f>
        <v>175135</v>
      </c>
      <c r="N40" s="341">
        <f t="shared" ref="N40" si="43">SUM(N37:N39)</f>
        <v>255510.87666666668</v>
      </c>
      <c r="O40" s="338">
        <f t="shared" ref="O40" si="44">SUM(O37:O39)</f>
        <v>64510.917777777788</v>
      </c>
      <c r="P40" s="180">
        <f t="shared" ref="P40:Q40" si="45">SUM(P37:P39)</f>
        <v>39079.337777777786</v>
      </c>
      <c r="Q40" s="339">
        <f t="shared" si="45"/>
        <v>-41296.538888888899</v>
      </c>
      <c r="R40"/>
      <c r="S40" s="387">
        <f>K40/K$31</f>
        <v>0.18299167538913169</v>
      </c>
      <c r="T40" s="291">
        <f>L40/L$31</f>
        <v>0.1998459328097246</v>
      </c>
      <c r="U40" s="388">
        <f>N40/N$31</f>
        <v>0.15081007632061902</v>
      </c>
      <c r="V40" s="265"/>
      <c r="W40" s="173" t="s">
        <v>309</v>
      </c>
      <c r="X40" s="140">
        <f>SUM(X37:X39)</f>
        <v>149703.42000000001</v>
      </c>
      <c r="Y40" s="140">
        <f t="shared" ref="Y40:AA40" si="46">SUM(Y37:Y39)</f>
        <v>176814.96</v>
      </c>
      <c r="Z40" s="140">
        <f t="shared" si="46"/>
        <v>168297.2</v>
      </c>
      <c r="AA40" s="140">
        <f t="shared" si="46"/>
        <v>8517.76</v>
      </c>
      <c r="AB40" s="182">
        <f>C40/C$31</f>
        <v>3.4076376745617885E-4</v>
      </c>
      <c r="AC40" s="182">
        <f>D40/D$31</f>
        <v>6.5183531773095743E-2</v>
      </c>
      <c r="AD40" s="182">
        <f>E40/E$31</f>
        <v>0.39858084829937207</v>
      </c>
      <c r="AE40" s="182">
        <f>F40/F$31</f>
        <v>1.5954263725446127E-2</v>
      </c>
      <c r="AF40" s="182">
        <f>G40/G$31</f>
        <v>6.1393602742231153E-4</v>
      </c>
      <c r="AG40" s="182">
        <f>H40/H$31</f>
        <v>6.4071520028819273E-2</v>
      </c>
      <c r="AH40" s="182">
        <f>I40/I$31</f>
        <v>0.27331912794577384</v>
      </c>
      <c r="AI40" s="182">
        <f>J40/J$31</f>
        <v>0.2451385010905808</v>
      </c>
    </row>
    <row r="41" spans="1:35" s="3" customFormat="1">
      <c r="A41" s="65"/>
      <c r="B41" s="112"/>
      <c r="C41" s="338"/>
      <c r="D41" s="180"/>
      <c r="E41" s="180"/>
      <c r="F41" s="339"/>
      <c r="G41" s="140"/>
      <c r="H41" s="140"/>
      <c r="I41" s="140"/>
      <c r="J41" s="309"/>
      <c r="K41" s="367"/>
      <c r="L41" s="140"/>
      <c r="M41" s="140"/>
      <c r="N41" s="341"/>
      <c r="O41" s="373"/>
      <c r="P41" s="181"/>
      <c r="Q41" s="374"/>
      <c r="R41"/>
      <c r="S41" s="387"/>
      <c r="T41" s="291"/>
      <c r="U41" s="388"/>
      <c r="V41" s="265"/>
      <c r="W41" s="173"/>
      <c r="X41" s="274"/>
      <c r="Y41" s="274"/>
      <c r="Z41" s="274"/>
      <c r="AA41" s="274"/>
      <c r="AB41" s="182"/>
      <c r="AC41" s="182"/>
      <c r="AD41" s="182"/>
      <c r="AE41" s="182"/>
      <c r="AF41" s="182"/>
      <c r="AG41" s="182"/>
      <c r="AH41" s="182"/>
      <c r="AI41" s="182"/>
    </row>
    <row r="42" spans="1:35" s="3" customFormat="1">
      <c r="A42" s="65" t="s">
        <v>310</v>
      </c>
      <c r="B42" s="112"/>
      <c r="C42" s="338"/>
      <c r="D42" s="180"/>
      <c r="E42" s="180"/>
      <c r="F42" s="339"/>
      <c r="G42" s="140"/>
      <c r="H42" s="140"/>
      <c r="I42" s="140"/>
      <c r="J42" s="309"/>
      <c r="K42" s="367"/>
      <c r="L42" s="140"/>
      <c r="M42" s="140"/>
      <c r="N42" s="341"/>
      <c r="O42" s="373"/>
      <c r="P42" s="181"/>
      <c r="Q42" s="374"/>
      <c r="R42"/>
      <c r="S42" s="387"/>
      <c r="T42" s="291"/>
      <c r="U42" s="388"/>
      <c r="V42" s="265"/>
      <c r="W42" s="173" t="s">
        <v>310</v>
      </c>
      <c r="X42" s="138"/>
      <c r="Y42" s="138"/>
      <c r="Z42" s="138"/>
      <c r="AA42" s="138"/>
      <c r="AB42" s="182"/>
      <c r="AC42" s="182"/>
      <c r="AD42" s="182"/>
      <c r="AE42" s="182"/>
      <c r="AF42" s="182"/>
      <c r="AG42" s="182"/>
      <c r="AH42" s="182"/>
      <c r="AI42" s="182"/>
    </row>
    <row r="43" spans="1:35">
      <c r="A43" s="15"/>
      <c r="B43" s="29" t="s">
        <v>312</v>
      </c>
      <c r="C43" s="336">
        <v>250</v>
      </c>
      <c r="D43" s="11">
        <v>2750</v>
      </c>
      <c r="E43" s="11">
        <v>16133.61</v>
      </c>
      <c r="F43" s="337">
        <v>1000</v>
      </c>
      <c r="G43" s="138">
        <v>0</v>
      </c>
      <c r="H43" s="138">
        <v>10121.299999999999</v>
      </c>
      <c r="I43" s="138">
        <v>15035.44</v>
      </c>
      <c r="J43" s="170">
        <f>SUM(G43:I43)/9*2+AA43</f>
        <v>10006.746666666666</v>
      </c>
      <c r="K43" s="366">
        <f>SUM(C43:F43)</f>
        <v>20133.61</v>
      </c>
      <c r="L43" s="138">
        <f>SUM(G43:J43)</f>
        <v>35163.486666666664</v>
      </c>
      <c r="M43" s="138">
        <v>14000</v>
      </c>
      <c r="N43" s="404">
        <f>'2019 Prod Budget'!L43</f>
        <v>1000</v>
      </c>
      <c r="O43" s="371">
        <f>L43-K43</f>
        <v>15029.876666666663</v>
      </c>
      <c r="P43" s="178">
        <f>L43-M43</f>
        <v>21163.486666666664</v>
      </c>
      <c r="Q43" s="372">
        <f>L43-N43</f>
        <v>34163.486666666664</v>
      </c>
      <c r="S43" s="385">
        <f>K43/K$31</f>
        <v>2.4610546810028631E-2</v>
      </c>
      <c r="T43" s="290">
        <f>L43/L$31</f>
        <v>3.2804899366877534E-2</v>
      </c>
      <c r="U43" s="386">
        <f>N43/N$31</f>
        <v>5.902295756957626E-4</v>
      </c>
      <c r="V43" s="264"/>
      <c r="W43" s="126" t="s">
        <v>312</v>
      </c>
      <c r="X43" s="138">
        <v>20133.61</v>
      </c>
      <c r="Y43" s="138">
        <v>29573.1</v>
      </c>
      <c r="Z43" s="138">
        <f>Y43-AA43</f>
        <v>25156.739999999998</v>
      </c>
      <c r="AA43" s="138">
        <v>4416.3599999999997</v>
      </c>
      <c r="AB43" s="179">
        <f>C43/C$31</f>
        <v>2.654750447617473E-3</v>
      </c>
      <c r="AC43" s="179">
        <f>D43/D$31</f>
        <v>1.4022690140412001E-2</v>
      </c>
      <c r="AD43" s="179">
        <f>E43/E$31</f>
        <v>4.8052266546831923E-2</v>
      </c>
      <c r="AE43" s="179">
        <f>F43/F$31</f>
        <v>5.2068182034738118E-3</v>
      </c>
      <c r="AF43" s="179">
        <f>G43/G$31</f>
        <v>0</v>
      </c>
      <c r="AG43" s="179">
        <f>H43/H$31</f>
        <v>4.1245536722150818E-2</v>
      </c>
      <c r="AH43" s="179">
        <f>I43/I$31</f>
        <v>2.694298820874225E-2</v>
      </c>
      <c r="AI43" s="179">
        <f>J43/J$31</f>
        <v>5.3423166106991396E-2</v>
      </c>
    </row>
    <row r="44" spans="1:35">
      <c r="A44" s="15"/>
      <c r="B44" s="29" t="s">
        <v>313</v>
      </c>
      <c r="C44" s="336">
        <v>0</v>
      </c>
      <c r="D44" s="11">
        <v>5418</v>
      </c>
      <c r="E44" s="11">
        <v>13233</v>
      </c>
      <c r="F44" s="337">
        <v>2925</v>
      </c>
      <c r="G44" s="138">
        <v>0</v>
      </c>
      <c r="H44" s="138">
        <v>2467</v>
      </c>
      <c r="I44" s="138">
        <v>21808.25</v>
      </c>
      <c r="J44" s="170">
        <f>SUM(G44:I44)/9*2+AA44</f>
        <v>6402.83</v>
      </c>
      <c r="K44" s="366">
        <f>SUM(C44:F44)</f>
        <v>21576</v>
      </c>
      <c r="L44" s="138">
        <f>SUM(G44:J44)</f>
        <v>30678.080000000002</v>
      </c>
      <c r="M44" s="138">
        <v>15000</v>
      </c>
      <c r="N44" s="404">
        <f>+'2019 Prod Budget'!L44</f>
        <v>1000</v>
      </c>
      <c r="O44" s="371">
        <f>L44-K44</f>
        <v>9102.0800000000017</v>
      </c>
      <c r="P44" s="178">
        <f>L44-M44</f>
        <v>15678.080000000002</v>
      </c>
      <c r="Q44" s="372">
        <f>L44-N44</f>
        <v>29678.080000000002</v>
      </c>
      <c r="S44" s="385">
        <f>K44/K$31</f>
        <v>2.637366860553958E-2</v>
      </c>
      <c r="T44" s="290">
        <f>L44/L$31</f>
        <v>2.8620350897200136E-2</v>
      </c>
      <c r="U44" s="386">
        <f>N44/N$31</f>
        <v>5.902295756957626E-4</v>
      </c>
      <c r="V44" s="264"/>
      <c r="W44" s="126" t="s">
        <v>313</v>
      </c>
      <c r="X44" s="138">
        <v>21576</v>
      </c>
      <c r="Y44" s="138">
        <v>25283.58</v>
      </c>
      <c r="Z44" s="138">
        <f>Y44-AA44</f>
        <v>24275.25</v>
      </c>
      <c r="AA44" s="138">
        <v>1008.33</v>
      </c>
      <c r="AB44" s="179">
        <f>C44/C$31</f>
        <v>0</v>
      </c>
      <c r="AC44" s="179">
        <f>D44/D$31</f>
        <v>2.7627249156637168E-2</v>
      </c>
      <c r="AD44" s="179">
        <f>E44/E$31</f>
        <v>3.9413103652203497E-2</v>
      </c>
      <c r="AE44" s="179">
        <f>F44/F$31</f>
        <v>1.5229943245160901E-2</v>
      </c>
      <c r="AF44" s="179">
        <f>G44/G$31</f>
        <v>0</v>
      </c>
      <c r="AG44" s="179">
        <f>H44/H$31</f>
        <v>1.0053327052211285E-2</v>
      </c>
      <c r="AH44" s="179">
        <f>I44/I$31</f>
        <v>3.9079629369230512E-2</v>
      </c>
      <c r="AI44" s="179">
        <f>J44/J$31</f>
        <v>3.4182883012743512E-2</v>
      </c>
    </row>
    <row r="45" spans="1:35">
      <c r="A45" s="15"/>
      <c r="B45" s="29" t="s">
        <v>314</v>
      </c>
      <c r="C45" s="336">
        <v>0</v>
      </c>
      <c r="D45" s="11">
        <v>4674</v>
      </c>
      <c r="E45" s="11">
        <v>5326</v>
      </c>
      <c r="F45" s="337">
        <v>500</v>
      </c>
      <c r="G45" s="138">
        <v>0</v>
      </c>
      <c r="H45" s="138">
        <v>2391.66</v>
      </c>
      <c r="I45" s="138">
        <v>12333.34</v>
      </c>
      <c r="J45" s="170">
        <f>SUM(G45:I45)/9*2+AA45</f>
        <v>4072.2222222222222</v>
      </c>
      <c r="K45" s="366">
        <f>SUM(C45:F45)</f>
        <v>10500</v>
      </c>
      <c r="L45" s="138">
        <f>SUM(G45:J45)</f>
        <v>18797.222222222223</v>
      </c>
      <c r="M45" s="138">
        <v>10000</v>
      </c>
      <c r="N45" s="404">
        <f>'2019 Prod Budget'!K45+'2019 Prod Budget'!L45</f>
        <v>36500</v>
      </c>
      <c r="O45" s="371">
        <f>L45-K45</f>
        <v>8297.2222222222226</v>
      </c>
      <c r="P45" s="178">
        <f>L45-M45</f>
        <v>8797.2222222222226</v>
      </c>
      <c r="Q45" s="372">
        <f>L45-N45</f>
        <v>-17702.777777777777</v>
      </c>
      <c r="S45" s="385">
        <f>K45/K$31</f>
        <v>1.2834794232395513E-2</v>
      </c>
      <c r="T45" s="290">
        <f>L45/L$31</f>
        <v>1.7536400449201781E-2</v>
      </c>
      <c r="U45" s="386">
        <f>N45/N$31</f>
        <v>2.1543379512895335E-2</v>
      </c>
      <c r="V45" s="264"/>
      <c r="W45" s="126" t="s">
        <v>314</v>
      </c>
      <c r="X45" s="138">
        <v>10500</v>
      </c>
      <c r="Y45" s="138">
        <v>15525</v>
      </c>
      <c r="Z45" s="138">
        <f>Y45-AA45</f>
        <v>14725</v>
      </c>
      <c r="AA45" s="138">
        <v>800</v>
      </c>
      <c r="AB45" s="179">
        <f>C45/C$31</f>
        <v>0</v>
      </c>
      <c r="AC45" s="179">
        <f>D45/D$31</f>
        <v>2.3833474078649341E-2</v>
      </c>
      <c r="AD45" s="179">
        <f>E45/E$31</f>
        <v>1.5862932823368536E-2</v>
      </c>
      <c r="AE45" s="179">
        <f>F45/F$31</f>
        <v>2.6034091017369059E-3</v>
      </c>
      <c r="AF45" s="179">
        <f>G45/G$31</f>
        <v>0</v>
      </c>
      <c r="AG45" s="179">
        <f>H45/H$31</f>
        <v>9.7463073278036636E-3</v>
      </c>
      <c r="AH45" s="179">
        <f>I45/I$31</f>
        <v>2.2100918509495509E-2</v>
      </c>
      <c r="AI45" s="179">
        <f>J45/J$31</f>
        <v>2.1740432874856372E-2</v>
      </c>
    </row>
    <row r="46" spans="1:35">
      <c r="A46" s="15"/>
      <c r="B46" s="29" t="s">
        <v>315</v>
      </c>
      <c r="C46" s="336">
        <v>0</v>
      </c>
      <c r="D46" s="11">
        <v>350</v>
      </c>
      <c r="E46" s="11">
        <v>12532.41</v>
      </c>
      <c r="F46" s="337">
        <v>400</v>
      </c>
      <c r="G46" s="138">
        <v>0</v>
      </c>
      <c r="H46" s="138">
        <v>4220</v>
      </c>
      <c r="I46" s="138">
        <v>8175</v>
      </c>
      <c r="J46" s="170">
        <f>SUM(G46:I46)/9*2+AA46</f>
        <v>4904.4444444444443</v>
      </c>
      <c r="K46" s="366">
        <f>SUM(C46:F46)</f>
        <v>13282.41</v>
      </c>
      <c r="L46" s="138">
        <f>SUM(G46:J46)</f>
        <v>17299.444444444445</v>
      </c>
      <c r="M46" s="138">
        <v>3186.5</v>
      </c>
      <c r="N46" s="404"/>
      <c r="O46" s="371">
        <f>L46-K46</f>
        <v>4017.0344444444454</v>
      </c>
      <c r="P46" s="178">
        <f>L46-M46</f>
        <v>14112.944444444445</v>
      </c>
      <c r="Q46" s="372">
        <f>L46-N46</f>
        <v>17299.444444444445</v>
      </c>
      <c r="S46" s="385">
        <f>K46/K$31</f>
        <v>1.623590469145833E-2</v>
      </c>
      <c r="T46" s="290">
        <f>L46/L$31</f>
        <v>1.6139085963874516E-2</v>
      </c>
      <c r="U46" s="386">
        <f>N46/N$31</f>
        <v>0</v>
      </c>
      <c r="V46" s="264"/>
      <c r="W46" s="126" t="s">
        <v>315</v>
      </c>
      <c r="X46" s="138">
        <v>13282.41</v>
      </c>
      <c r="Y46" s="138">
        <v>14545</v>
      </c>
      <c r="Z46" s="138">
        <f>Y46-AA46</f>
        <v>12395</v>
      </c>
      <c r="AA46" s="138">
        <v>2150</v>
      </c>
      <c r="AB46" s="179">
        <f>C46/C$31</f>
        <v>0</v>
      </c>
      <c r="AC46" s="179">
        <f>D46/D$31</f>
        <v>1.7847060178706182E-3</v>
      </c>
      <c r="AD46" s="179">
        <f>E46/E$31</f>
        <v>3.7326469760591827E-2</v>
      </c>
      <c r="AE46" s="179">
        <f>F46/F$31</f>
        <v>2.0827272813895249E-3</v>
      </c>
      <c r="AF46" s="179">
        <f>G46/G$31</f>
        <v>0</v>
      </c>
      <c r="AG46" s="179">
        <f>H46/H$31</f>
        <v>1.7197016684366281E-2</v>
      </c>
      <c r="AH46" s="179">
        <f>I46/I$31</f>
        <v>1.4649317120514458E-2</v>
      </c>
      <c r="AI46" s="179">
        <f>J46/J$31</f>
        <v>2.6183429934410921E-2</v>
      </c>
    </row>
    <row r="47" spans="1:35">
      <c r="A47" s="15"/>
      <c r="B47" s="29" t="s">
        <v>316</v>
      </c>
      <c r="C47" s="336">
        <v>800</v>
      </c>
      <c r="D47" s="11">
        <v>1200</v>
      </c>
      <c r="E47" s="11">
        <v>600</v>
      </c>
      <c r="F47" s="337">
        <v>206.38</v>
      </c>
      <c r="G47" s="138">
        <v>-1900</v>
      </c>
      <c r="H47" s="138">
        <v>1075</v>
      </c>
      <c r="I47" s="138">
        <v>2245</v>
      </c>
      <c r="J47" s="170">
        <f>SUM(G47:I47)/9*2+AA47</f>
        <v>315.55555555555554</v>
      </c>
      <c r="K47" s="366">
        <f>SUM(C47:F47)</f>
        <v>2806.38</v>
      </c>
      <c r="L47" s="138">
        <f>SUM(G47:J47)</f>
        <v>1735.5555555555557</v>
      </c>
      <c r="M47" s="138"/>
      <c r="N47" s="404"/>
      <c r="O47" s="371">
        <f>L47-K47</f>
        <v>-1070.8244444444445</v>
      </c>
      <c r="P47" s="178">
        <f>L47-M47</f>
        <v>1735.5555555555557</v>
      </c>
      <c r="Q47" s="372">
        <f>L47-N47</f>
        <v>1735.5555555555557</v>
      </c>
      <c r="S47" s="385">
        <f>K47/K$31</f>
        <v>3.4304104607533448E-3</v>
      </c>
      <c r="T47" s="290">
        <f>L47/L$31</f>
        <v>1.6191433427901983E-3</v>
      </c>
      <c r="U47" s="386">
        <f>N47/N$31</f>
        <v>0</v>
      </c>
      <c r="V47" s="264"/>
      <c r="W47" s="126" t="s">
        <v>316</v>
      </c>
      <c r="X47" s="138">
        <v>2806.38</v>
      </c>
      <c r="Y47" s="138">
        <v>1420</v>
      </c>
      <c r="Z47" s="138">
        <f>Y47-AA47</f>
        <v>1420</v>
      </c>
      <c r="AA47" s="138">
        <v>0</v>
      </c>
      <c r="AB47" s="179">
        <f>C47/C$31</f>
        <v>8.4952014323759137E-3</v>
      </c>
      <c r="AC47" s="179">
        <f>D47/D$31</f>
        <v>6.118992061270691E-3</v>
      </c>
      <c r="AD47" s="179">
        <f>E47/E$31</f>
        <v>1.7870371186671276E-3</v>
      </c>
      <c r="AE47" s="179">
        <f>F47/F$31</f>
        <v>1.0745831408329252E-3</v>
      </c>
      <c r="AF47" s="179">
        <f>G47/G$31</f>
        <v>-2.3413858934210999E-2</v>
      </c>
      <c r="AG47" s="179">
        <f>H47/H$31</f>
        <v>4.3807566198326431E-3</v>
      </c>
      <c r="AH47" s="179">
        <f>I47/I$31</f>
        <v>4.022962316275836E-3</v>
      </c>
      <c r="AI47" s="179">
        <f>J47/J$31</f>
        <v>1.6846611013531269E-3</v>
      </c>
    </row>
    <row r="48" spans="1:35" s="3" customFormat="1">
      <c r="A48" s="65" t="s">
        <v>317</v>
      </c>
      <c r="B48" s="112"/>
      <c r="C48" s="338">
        <f>SUM(C43:C47)</f>
        <v>1050</v>
      </c>
      <c r="D48" s="180">
        <f t="shared" ref="D48:F48" si="47">SUM(D43:D47)</f>
        <v>14392</v>
      </c>
      <c r="E48" s="180">
        <f t="shared" si="47"/>
        <v>47825.020000000004</v>
      </c>
      <c r="F48" s="339">
        <f t="shared" si="47"/>
        <v>5031.38</v>
      </c>
      <c r="G48" s="180">
        <f>SUM(G43:G47)</f>
        <v>-1900</v>
      </c>
      <c r="H48" s="180">
        <f t="shared" ref="H48" si="48">SUM(H43:H47)</f>
        <v>20274.96</v>
      </c>
      <c r="I48" s="180">
        <f t="shared" ref="I48" si="49">SUM(I43:I47)</f>
        <v>59597.03</v>
      </c>
      <c r="J48" s="309">
        <f t="shared" ref="J48" si="50">SUM(J43:J47)</f>
        <v>25701.79888888889</v>
      </c>
      <c r="K48" s="338">
        <f>SUM(K43:K47)</f>
        <v>68298.400000000009</v>
      </c>
      <c r="L48" s="140">
        <f t="shared" ref="L48" si="51">SUM(L43:L47)</f>
        <v>103673.7888888889</v>
      </c>
      <c r="M48" s="140">
        <f t="shared" ref="M48" si="52">SUM(M43:M47)</f>
        <v>42186.5</v>
      </c>
      <c r="N48" s="341">
        <f t="shared" ref="N48" si="53">SUM(N43:N47)</f>
        <v>38500</v>
      </c>
      <c r="O48" s="338">
        <f t="shared" ref="O48" si="54">SUM(O43:O47)</f>
        <v>35375.388888888891</v>
      </c>
      <c r="P48" s="180">
        <f t="shared" ref="P48:Q48" si="55">SUM(P43:P47)</f>
        <v>61487.288888888885</v>
      </c>
      <c r="Q48" s="339">
        <f t="shared" si="55"/>
        <v>65173.788888888885</v>
      </c>
      <c r="R48"/>
      <c r="S48" s="387">
        <f>K48/K$31</f>
        <v>8.3485324800175412E-2</v>
      </c>
      <c r="T48" s="291">
        <f>L48/L$31</f>
        <v>9.6719880019944179E-2</v>
      </c>
      <c r="U48" s="388">
        <f>N48/N$31</f>
        <v>2.2723838664286861E-2</v>
      </c>
      <c r="V48" s="265"/>
      <c r="W48" s="173" t="s">
        <v>317</v>
      </c>
      <c r="X48" s="140">
        <f t="shared" ref="X48" si="56">SUM(X43:X47)</f>
        <v>68298.400000000009</v>
      </c>
      <c r="Y48" s="140">
        <f t="shared" ref="Y48" si="57">SUM(Y43:Y47)</f>
        <v>86346.68</v>
      </c>
      <c r="Z48" s="140">
        <f t="shared" ref="Z48" si="58">SUM(Z43:Z47)</f>
        <v>77971.989999999991</v>
      </c>
      <c r="AA48" s="140">
        <f t="shared" ref="AA48" si="59">SUM(AA43:AA47)</f>
        <v>8374.6899999999987</v>
      </c>
      <c r="AB48" s="182">
        <f>C48/C$31</f>
        <v>1.1149951879993387E-2</v>
      </c>
      <c r="AC48" s="182">
        <f>D48/D$31</f>
        <v>7.3387111454839823E-2</v>
      </c>
      <c r="AD48" s="182">
        <f>E48/E$31</f>
        <v>0.14244180990166291</v>
      </c>
      <c r="AE48" s="182">
        <f>F48/F$31</f>
        <v>2.619748097259407E-2</v>
      </c>
      <c r="AF48" s="182">
        <f>G48/G$31</f>
        <v>-2.3413858934210999E-2</v>
      </c>
      <c r="AG48" s="182">
        <f>H48/H$31</f>
        <v>8.2622944406364682E-2</v>
      </c>
      <c r="AH48" s="182">
        <f>I48/I$31</f>
        <v>0.10679581552425856</v>
      </c>
      <c r="AI48" s="182">
        <f>J48/J$31</f>
        <v>0.13721457303035534</v>
      </c>
    </row>
    <row r="49" spans="1:35" s="3" customFormat="1">
      <c r="A49" s="65" t="s">
        <v>319</v>
      </c>
      <c r="B49" s="112"/>
      <c r="C49" s="338">
        <f>C40+C48</f>
        <v>1082.0899999999999</v>
      </c>
      <c r="D49" s="180">
        <f>D40+D48</f>
        <v>27175.190000000002</v>
      </c>
      <c r="E49" s="180">
        <f>E40+E48</f>
        <v>181649.05</v>
      </c>
      <c r="F49" s="339">
        <f>F40+F48</f>
        <v>8095.4899999999971</v>
      </c>
      <c r="G49" s="180">
        <f>G40+G48</f>
        <v>-1850.18</v>
      </c>
      <c r="H49" s="180">
        <f>H40+H48</f>
        <v>35997.56</v>
      </c>
      <c r="I49" s="180">
        <f>I40+I48</f>
        <v>212121.81</v>
      </c>
      <c r="J49" s="309">
        <f>J40+J48</f>
        <v>71618.936666666676</v>
      </c>
      <c r="K49" s="338">
        <f>K40+K48</f>
        <v>218001.82</v>
      </c>
      <c r="L49" s="140">
        <f>L40+L48</f>
        <v>317888.12666666671</v>
      </c>
      <c r="M49" s="140">
        <f>M40+M48</f>
        <v>217321.5</v>
      </c>
      <c r="N49" s="341">
        <f>N40+N48</f>
        <v>294010.87666666671</v>
      </c>
      <c r="O49" s="338">
        <f>O40+O48</f>
        <v>99886.306666666671</v>
      </c>
      <c r="P49" s="180">
        <f>P40+P48</f>
        <v>100566.62666666668</v>
      </c>
      <c r="Q49" s="339">
        <f>Q40+Q48</f>
        <v>23877.249999999985</v>
      </c>
      <c r="R49"/>
      <c r="S49" s="387">
        <f>K49/K$31</f>
        <v>0.26647700018930714</v>
      </c>
      <c r="T49" s="291">
        <f>L49/L$31</f>
        <v>0.29656581282966876</v>
      </c>
      <c r="U49" s="388">
        <f>N49/N$31</f>
        <v>0.17353391498490589</v>
      </c>
      <c r="V49" s="265"/>
      <c r="W49" s="173" t="s">
        <v>319</v>
      </c>
      <c r="X49" s="140">
        <f>X40+X48</f>
        <v>218001.82</v>
      </c>
      <c r="Y49" s="140">
        <f>Y40+Y48</f>
        <v>263161.64</v>
      </c>
      <c r="Z49" s="140">
        <f>Z40+Z48</f>
        <v>246269.19</v>
      </c>
      <c r="AA49" s="140">
        <f>AA40+AA48</f>
        <v>16892.449999999997</v>
      </c>
      <c r="AB49" s="182">
        <f>C49/C$31</f>
        <v>1.1490715647449565E-2</v>
      </c>
      <c r="AC49" s="182">
        <f>D49/D$31</f>
        <v>0.13857064322793558</v>
      </c>
      <c r="AD49" s="182">
        <f>E49/E$31</f>
        <v>0.5410226582010349</v>
      </c>
      <c r="AE49" s="182">
        <f>F49/F$31</f>
        <v>4.21517446980402E-2</v>
      </c>
      <c r="AF49" s="182">
        <f>G49/G$31</f>
        <v>-2.279992290678869E-2</v>
      </c>
      <c r="AG49" s="182">
        <f>H49/H$31</f>
        <v>0.14669446443518394</v>
      </c>
      <c r="AH49" s="182">
        <f>I49/I$31</f>
        <v>0.38011494347003238</v>
      </c>
      <c r="AI49" s="182">
        <f>J49/J$31</f>
        <v>0.38235307412093616</v>
      </c>
    </row>
    <row r="50" spans="1:35" s="3" customFormat="1">
      <c r="A50" s="65"/>
      <c r="B50" s="112"/>
      <c r="C50" s="338"/>
      <c r="D50" s="180"/>
      <c r="E50" s="180"/>
      <c r="F50" s="339"/>
      <c r="G50" s="140"/>
      <c r="H50" s="140"/>
      <c r="I50" s="140"/>
      <c r="J50" s="309"/>
      <c r="K50" s="367"/>
      <c r="L50" s="140"/>
      <c r="M50" s="140"/>
      <c r="N50" s="341"/>
      <c r="O50" s="373"/>
      <c r="P50" s="181"/>
      <c r="Q50" s="374"/>
      <c r="R50"/>
      <c r="S50" s="387"/>
      <c r="T50" s="291"/>
      <c r="U50" s="388"/>
      <c r="V50" s="265"/>
      <c r="W50" s="173"/>
      <c r="X50" s="274"/>
      <c r="Y50" s="274"/>
      <c r="Z50" s="274"/>
      <c r="AA50" s="274"/>
      <c r="AB50" s="182"/>
      <c r="AC50" s="182"/>
      <c r="AD50" s="182"/>
      <c r="AE50" s="182"/>
      <c r="AF50" s="182"/>
      <c r="AG50" s="182"/>
      <c r="AH50" s="182"/>
      <c r="AI50" s="182"/>
    </row>
    <row r="51" spans="1:35" s="3" customFormat="1">
      <c r="A51" s="65" t="s">
        <v>191</v>
      </c>
      <c r="B51" s="112"/>
      <c r="C51" s="338"/>
      <c r="D51" s="180"/>
      <c r="E51" s="180"/>
      <c r="F51" s="339"/>
      <c r="G51" s="140"/>
      <c r="H51" s="140"/>
      <c r="I51" s="140"/>
      <c r="J51" s="309"/>
      <c r="K51" s="367"/>
      <c r="L51" s="140"/>
      <c r="M51" s="140"/>
      <c r="N51" s="341"/>
      <c r="O51" s="373"/>
      <c r="P51" s="181"/>
      <c r="Q51" s="374"/>
      <c r="R51"/>
      <c r="S51" s="387"/>
      <c r="T51" s="291"/>
      <c r="U51" s="388"/>
      <c r="V51" s="265"/>
      <c r="W51" s="173" t="s">
        <v>191</v>
      </c>
      <c r="X51" s="138"/>
      <c r="Y51" s="138"/>
      <c r="Z51" s="138"/>
      <c r="AA51" s="138"/>
      <c r="AB51" s="182"/>
      <c r="AC51" s="182"/>
      <c r="AD51" s="182"/>
      <c r="AE51" s="182"/>
      <c r="AF51" s="182"/>
      <c r="AG51" s="182"/>
      <c r="AH51" s="182"/>
      <c r="AI51" s="182"/>
    </row>
    <row r="52" spans="1:35">
      <c r="A52" s="15"/>
      <c r="B52" s="29" t="s">
        <v>192</v>
      </c>
      <c r="C52" s="336">
        <v>16167.68</v>
      </c>
      <c r="D52" s="11">
        <v>36133.18</v>
      </c>
      <c r="E52" s="11">
        <v>38554.410000000003</v>
      </c>
      <c r="F52" s="337">
        <v>-634.79999999999995</v>
      </c>
      <c r="G52" s="138">
        <v>25388.73</v>
      </c>
      <c r="H52" s="138">
        <v>63756.29</v>
      </c>
      <c r="I52" s="138">
        <v>33476.33</v>
      </c>
      <c r="J52" s="170">
        <f>SUM(G52:I52)/9*2+AA52</f>
        <v>25445.748888888891</v>
      </c>
      <c r="K52" s="366">
        <f>SUM(C52:F52)</f>
        <v>90220.47</v>
      </c>
      <c r="L52" s="138">
        <f>SUM(G52:J52)</f>
        <v>148067.0988888889</v>
      </c>
      <c r="M52" s="138">
        <v>57640</v>
      </c>
      <c r="N52" s="404">
        <f>'2019 Prod Budget'!K49+'2019 Prod Budget'!L49</f>
        <v>130000</v>
      </c>
      <c r="O52" s="371">
        <f>L52-K52</f>
        <v>57846.628888888896</v>
      </c>
      <c r="P52" s="178">
        <f>L52-M52</f>
        <v>90427.098888888897</v>
      </c>
      <c r="Q52" s="372">
        <f>L52-N52</f>
        <v>18067.098888888897</v>
      </c>
      <c r="S52" s="385">
        <f>K52/K$31</f>
        <v>0.11028201600000118</v>
      </c>
      <c r="T52" s="290">
        <f>L52/L$31</f>
        <v>0.13813551325671075</v>
      </c>
      <c r="U52" s="386">
        <f>N52/N$31</f>
        <v>7.6729844840449146E-2</v>
      </c>
      <c r="V52" s="264"/>
      <c r="W52" s="126" t="s">
        <v>192</v>
      </c>
      <c r="X52" s="138">
        <v>90220.47</v>
      </c>
      <c r="Y52" s="138">
        <v>120817.91</v>
      </c>
      <c r="Z52" s="138">
        <f t="shared" ref="Z52:Z63" si="60">Y52-AA52</f>
        <v>122621.35</v>
      </c>
      <c r="AA52" s="138">
        <v>-1803.44</v>
      </c>
      <c r="AB52" s="179">
        <f>C52/C$31</f>
        <v>0.17168462286774427</v>
      </c>
      <c r="AC52" s="179">
        <f>D52/D$31</f>
        <v>0.18424886797372075</v>
      </c>
      <c r="AD52" s="179">
        <f>E52/E$31</f>
        <v>0.11483026959718516</v>
      </c>
      <c r="AE52" s="179">
        <f>F52/F$31</f>
        <v>-3.3052881955651756E-3</v>
      </c>
      <c r="AF52" s="179">
        <f>G52/G$31</f>
        <v>0.31286744354672147</v>
      </c>
      <c r="AG52" s="179">
        <f>H52/H$31</f>
        <v>0.25981468788229745</v>
      </c>
      <c r="AH52" s="179">
        <f>I52/I$31</f>
        <v>5.9988424978714594E-2</v>
      </c>
      <c r="AI52" s="179">
        <f>J52/J$31</f>
        <v>0.13584759511661831</v>
      </c>
    </row>
    <row r="53" spans="1:35">
      <c r="A53" s="15"/>
      <c r="B53" s="29" t="s">
        <v>193</v>
      </c>
      <c r="C53" s="336">
        <v>0</v>
      </c>
      <c r="D53" s="11">
        <v>4790.4799999999996</v>
      </c>
      <c r="E53" s="11">
        <v>9871.1299999999992</v>
      </c>
      <c r="F53" s="337">
        <v>5315.29</v>
      </c>
      <c r="G53" s="138">
        <v>0</v>
      </c>
      <c r="H53" s="138">
        <v>7494.13</v>
      </c>
      <c r="I53" s="138">
        <v>10685.67</v>
      </c>
      <c r="J53" s="170">
        <f>SUM(G53:I53)/9*2+AA53</f>
        <v>5634.3755555555554</v>
      </c>
      <c r="K53" s="366">
        <f>SUM(C53:F53)</f>
        <v>19976.899999999998</v>
      </c>
      <c r="L53" s="138">
        <f>SUM(G53:J53)</f>
        <v>23814.175555555554</v>
      </c>
      <c r="M53" s="138">
        <v>17400</v>
      </c>
      <c r="N53" s="404">
        <f>'2019 Prod Budget'!K50+'2019 Prod Budget'!L50</f>
        <v>32600</v>
      </c>
      <c r="O53" s="371">
        <f>L53-K53</f>
        <v>3837.2755555555559</v>
      </c>
      <c r="P53" s="178">
        <f>L53-M53</f>
        <v>6414.1755555555537</v>
      </c>
      <c r="Q53" s="372">
        <f>L53-N53</f>
        <v>-8785.8244444444463</v>
      </c>
      <c r="S53" s="385">
        <f>K53/K$31</f>
        <v>2.4418990562013514E-2</v>
      </c>
      <c r="T53" s="290">
        <f>L53/L$31</f>
        <v>2.2216842146820334E-2</v>
      </c>
      <c r="U53" s="386">
        <f>N53/N$31</f>
        <v>1.9241484167681861E-2</v>
      </c>
      <c r="V53" s="264"/>
      <c r="W53" s="126" t="s">
        <v>193</v>
      </c>
      <c r="X53" s="138">
        <v>19976.900000000001</v>
      </c>
      <c r="Y53" s="138">
        <v>19774.22</v>
      </c>
      <c r="Z53" s="138">
        <f t="shared" si="60"/>
        <v>18179.800000000003</v>
      </c>
      <c r="AA53" s="138">
        <v>1594.42</v>
      </c>
      <c r="AB53" s="179">
        <f>C53/C$31</f>
        <v>0</v>
      </c>
      <c r="AC53" s="179">
        <f>D53/D$31</f>
        <v>2.442742424139668E-2</v>
      </c>
      <c r="AD53" s="179">
        <f>E53/E$31</f>
        <v>2.9400126188647735E-2</v>
      </c>
      <c r="AE53" s="179">
        <f>F53/F$31</f>
        <v>2.767574872874232E-2</v>
      </c>
      <c r="AF53" s="179">
        <f>G53/G$31</f>
        <v>0</v>
      </c>
      <c r="AG53" s="179">
        <f>H53/H$31</f>
        <v>3.0539497309196657E-2</v>
      </c>
      <c r="AH53" s="179">
        <f>I53/I$31</f>
        <v>1.9148350883812566E-2</v>
      </c>
      <c r="AI53" s="179">
        <f>J53/J$31</f>
        <v>3.0080323929483881E-2</v>
      </c>
    </row>
    <row r="54" spans="1:35">
      <c r="A54" s="15"/>
      <c r="B54" s="29" t="s">
        <v>194</v>
      </c>
      <c r="C54" s="336">
        <v>0</v>
      </c>
      <c r="D54" s="11">
        <v>1282.4100000000001</v>
      </c>
      <c r="E54" s="11">
        <v>7212.91</v>
      </c>
      <c r="F54" s="337">
        <v>3675.34</v>
      </c>
      <c r="G54" s="138">
        <v>0</v>
      </c>
      <c r="H54" s="138">
        <v>5540.05</v>
      </c>
      <c r="I54" s="138">
        <v>14672.73</v>
      </c>
      <c r="J54" s="170">
        <f>SUM(G54:I54)/9*2+AA54</f>
        <v>5023.4788888888888</v>
      </c>
      <c r="K54" s="366">
        <f>SUM(C54:F54)</f>
        <v>12170.66</v>
      </c>
      <c r="L54" s="138">
        <f>SUM(G54:J54)</f>
        <v>25236.258888888886</v>
      </c>
      <c r="M54" s="138">
        <v>35750</v>
      </c>
      <c r="N54" s="404">
        <f>'2019 Prod Budget'!K51+'2019 Prod Budget'!L51</f>
        <v>27000</v>
      </c>
      <c r="O54" s="371">
        <f>L54-K54</f>
        <v>13065.598888888886</v>
      </c>
      <c r="P54" s="178">
        <f>L54-M54</f>
        <v>-10513.741111111114</v>
      </c>
      <c r="Q54" s="372">
        <f>L54-N54</f>
        <v>-1763.7411111111142</v>
      </c>
      <c r="S54" s="385">
        <f>K54/K$31</f>
        <v>1.487694445451874E-2</v>
      </c>
      <c r="T54" s="290">
        <f>L54/L$31</f>
        <v>2.3543539384882819E-2</v>
      </c>
      <c r="U54" s="386">
        <f>N54/N$31</f>
        <v>1.5936198543785592E-2</v>
      </c>
      <c r="V54" s="264"/>
      <c r="W54" s="126" t="s">
        <v>194</v>
      </c>
      <c r="X54" s="138">
        <v>12170.66</v>
      </c>
      <c r="Y54" s="138">
        <v>20744.53</v>
      </c>
      <c r="Z54" s="138">
        <f t="shared" si="60"/>
        <v>20212.78</v>
      </c>
      <c r="AA54" s="138">
        <v>531.75</v>
      </c>
      <c r="AB54" s="179">
        <f>C54/C$31</f>
        <v>0</v>
      </c>
      <c r="AC54" s="179">
        <f>D54/D$31</f>
        <v>6.5392138410784563E-3</v>
      </c>
      <c r="AD54" s="179">
        <f>E54/E$31</f>
        <v>2.1482896506008851E-2</v>
      </c>
      <c r="AE54" s="179">
        <f>F54/F$31</f>
        <v>1.9136827215955443E-2</v>
      </c>
      <c r="AF54" s="179">
        <f>G54/G$31</f>
        <v>0</v>
      </c>
      <c r="AG54" s="179">
        <f>H54/H$31</f>
        <v>2.2576382057398914E-2</v>
      </c>
      <c r="AH54" s="179">
        <f>I54/I$31</f>
        <v>2.629302443959463E-2</v>
      </c>
      <c r="AI54" s="179">
        <f>J54/J$31</f>
        <v>2.6818920879654099E-2</v>
      </c>
    </row>
    <row r="55" spans="1:35">
      <c r="A55" s="15"/>
      <c r="B55" s="29" t="s">
        <v>195</v>
      </c>
      <c r="C55" s="336">
        <v>6816</v>
      </c>
      <c r="D55" s="11">
        <v>137.77000000000001</v>
      </c>
      <c r="E55" s="11">
        <v>4246.8100000000004</v>
      </c>
      <c r="F55" s="337">
        <v>453.82</v>
      </c>
      <c r="G55" s="138">
        <v>2009.76</v>
      </c>
      <c r="H55" s="138">
        <v>3615.3</v>
      </c>
      <c r="I55" s="138">
        <v>8021.18</v>
      </c>
      <c r="J55" s="170">
        <f>SUM(G55:I55)/9*2+AA55</f>
        <v>3032.4977777777781</v>
      </c>
      <c r="K55" s="366">
        <f>SUM(C55:F55)</f>
        <v>11654.400000000001</v>
      </c>
      <c r="L55" s="138">
        <f>SUM(G55:J55)</f>
        <v>16678.73777777778</v>
      </c>
      <c r="M55" s="138">
        <v>17500</v>
      </c>
      <c r="N55" s="404">
        <f>'2019 Prod Budget'!K52+'2019 Prod Budget'!L52</f>
        <v>17500</v>
      </c>
      <c r="O55" s="371">
        <f>L55-K55</f>
        <v>5024.3377777777787</v>
      </c>
      <c r="P55" s="178">
        <f>L55-M55</f>
        <v>-821.26222222221986</v>
      </c>
      <c r="Q55" s="372">
        <f>L55-N55</f>
        <v>-821.26222222221986</v>
      </c>
      <c r="S55" s="385">
        <f>K55/K$31</f>
        <v>1.4245888181145741E-2</v>
      </c>
      <c r="T55" s="290">
        <f>L55/L$31</f>
        <v>1.5560013133885435E-2</v>
      </c>
      <c r="U55" s="386">
        <f>N55/N$31</f>
        <v>1.0329017574675846E-2</v>
      </c>
      <c r="V55" s="264"/>
      <c r="W55" s="126" t="s">
        <v>195</v>
      </c>
      <c r="X55" s="138">
        <v>11654.4</v>
      </c>
      <c r="Y55" s="138">
        <v>13646.24</v>
      </c>
      <c r="Z55" s="138">
        <f t="shared" si="60"/>
        <v>13646.24</v>
      </c>
      <c r="AA55" s="138">
        <v>0</v>
      </c>
      <c r="AB55" s="179">
        <f>C55/C$31</f>
        <v>7.2379116203842783E-2</v>
      </c>
      <c r="AC55" s="179">
        <f>D55/D$31</f>
        <v>7.02511280234386E-4</v>
      </c>
      <c r="AD55" s="179">
        <f>E55/E$31</f>
        <v>1.2648678509877907E-2</v>
      </c>
      <c r="AE55" s="179">
        <f>F55/F$31</f>
        <v>2.3629582371004856E-3</v>
      </c>
      <c r="AF55" s="179">
        <f>G55/G$31</f>
        <v>2.4766440595589419E-2</v>
      </c>
      <c r="AG55" s="179">
        <f>H55/H$31</f>
        <v>1.4732790146679959E-2</v>
      </c>
      <c r="AH55" s="179">
        <f>I55/I$31</f>
        <v>1.4373677003147177E-2</v>
      </c>
      <c r="AI55" s="179">
        <f>J55/J$31</f>
        <v>1.6189640639245842E-2</v>
      </c>
    </row>
    <row r="56" spans="1:35">
      <c r="A56" s="15"/>
      <c r="B56" s="29" t="s">
        <v>196</v>
      </c>
      <c r="C56" s="336">
        <v>0</v>
      </c>
      <c r="D56" s="11">
        <v>8468.43</v>
      </c>
      <c r="E56" s="11">
        <v>981.72</v>
      </c>
      <c r="F56" s="337">
        <v>7272.15</v>
      </c>
      <c r="G56" s="138">
        <v>0</v>
      </c>
      <c r="H56" s="138">
        <v>11683.82</v>
      </c>
      <c r="I56" s="138">
        <v>11766.63</v>
      </c>
      <c r="J56" s="170">
        <f>SUM(G56:I56)/9*2+AA56</f>
        <v>4735.3311111111107</v>
      </c>
      <c r="K56" s="366">
        <f>SUM(C56:F56)</f>
        <v>16722.3</v>
      </c>
      <c r="L56" s="138">
        <f>SUM(G56:J56)</f>
        <v>28185.781111111108</v>
      </c>
      <c r="M56" s="138">
        <v>21750</v>
      </c>
      <c r="N56" s="404">
        <f>'2019 Prod Budget'!K53+'2019 Prod Budget'!L53</f>
        <v>23750</v>
      </c>
      <c r="O56" s="371">
        <f>L56-K56</f>
        <v>11463.481111111108</v>
      </c>
      <c r="P56" s="178">
        <f>L56-M56</f>
        <v>6435.7811111111077</v>
      </c>
      <c r="Q56" s="372">
        <f>L56-N56</f>
        <v>4435.7811111111077</v>
      </c>
      <c r="S56" s="385">
        <f>K56/K$31</f>
        <v>2.0440693294513094E-2</v>
      </c>
      <c r="T56" s="290">
        <f>L56/L$31</f>
        <v>2.6295222703365904E-2</v>
      </c>
      <c r="U56" s="386">
        <f>N56/N$31</f>
        <v>1.4017952422774363E-2</v>
      </c>
      <c r="V56" s="264"/>
      <c r="W56" s="126" t="s">
        <v>196</v>
      </c>
      <c r="X56" s="138">
        <v>16722.3</v>
      </c>
      <c r="Y56" s="138">
        <v>22974.57</v>
      </c>
      <c r="Z56" s="138">
        <f t="shared" si="60"/>
        <v>23450.45</v>
      </c>
      <c r="AA56" s="138">
        <v>-475.88</v>
      </c>
      <c r="AB56" s="179">
        <f>C56/C$31</f>
        <v>0</v>
      </c>
      <c r="AC56" s="179">
        <f>D56/D$31</f>
        <v>4.3181879951188801E-2</v>
      </c>
      <c r="AD56" s="179">
        <f>E56/E$31</f>
        <v>2.9239501335631543E-3</v>
      </c>
      <c r="AE56" s="179">
        <f>F56/F$31</f>
        <v>3.7864762998392081E-2</v>
      </c>
      <c r="AF56" s="179">
        <f>G56/G$31</f>
        <v>0</v>
      </c>
      <c r="AG56" s="179">
        <f>H56/H$31</f>
        <v>4.7612997032495843E-2</v>
      </c>
      <c r="AH56" s="179">
        <f>I56/I$31</f>
        <v>2.1085393799358903E-2</v>
      </c>
      <c r="AI56" s="179">
        <f>J56/J$31</f>
        <v>2.5280582086001948E-2</v>
      </c>
    </row>
    <row r="57" spans="1:35">
      <c r="A57" s="15"/>
      <c r="B57" s="29" t="s">
        <v>197</v>
      </c>
      <c r="C57" s="336">
        <v>0</v>
      </c>
      <c r="D57" s="11">
        <v>13.59</v>
      </c>
      <c r="E57" s="11">
        <v>7101.73</v>
      </c>
      <c r="F57" s="337">
        <v>2050.15</v>
      </c>
      <c r="G57" s="138">
        <v>200</v>
      </c>
      <c r="H57" s="138">
        <v>361.34</v>
      </c>
      <c r="I57" s="138">
        <v>431.59</v>
      </c>
      <c r="J57" s="170">
        <f>SUM(G57:I57)/9*2+AA57</f>
        <v>220.65111111111108</v>
      </c>
      <c r="K57" s="366">
        <f>SUM(C57:F57)</f>
        <v>9165.4699999999993</v>
      </c>
      <c r="L57" s="138">
        <f>SUM(G57:J57)</f>
        <v>1213.5811111111109</v>
      </c>
      <c r="M57" s="138">
        <v>5000</v>
      </c>
      <c r="N57" s="404">
        <f>'2019 Prod Budget'!K54+'2019 Prod Budget'!L54</f>
        <v>1250</v>
      </c>
      <c r="O57" s="371">
        <f>L57-K57</f>
        <v>-7951.8888888888887</v>
      </c>
      <c r="P57" s="178">
        <f>L57-M57</f>
        <v>-3786.4188888888893</v>
      </c>
      <c r="Q57" s="372">
        <f>L57-N57</f>
        <v>-36.418888888889114</v>
      </c>
      <c r="S57" s="385">
        <f>K57/K$31</f>
        <v>1.1203516332685152E-2</v>
      </c>
      <c r="T57" s="290">
        <f>L57/L$31</f>
        <v>1.1321802812370924E-3</v>
      </c>
      <c r="U57" s="386">
        <f>N57/N$31</f>
        <v>7.3778696961970325E-4</v>
      </c>
      <c r="V57" s="264"/>
      <c r="W57" s="126" t="s">
        <v>197</v>
      </c>
      <c r="X57" s="138">
        <v>9165.4699999999993</v>
      </c>
      <c r="Y57" s="138">
        <v>992.93</v>
      </c>
      <c r="Z57" s="138">
        <f t="shared" si="60"/>
        <v>992.93</v>
      </c>
      <c r="AA57" s="138">
        <v>0</v>
      </c>
      <c r="AB57" s="179">
        <f>C57/C$31</f>
        <v>0</v>
      </c>
      <c r="AC57" s="179">
        <f>D57/D$31</f>
        <v>6.9297585093890571E-5</v>
      </c>
      <c r="AD57" s="179">
        <f>E57/E$31</f>
        <v>2.1151758527919833E-2</v>
      </c>
      <c r="AE57" s="179">
        <f>F57/F$31</f>
        <v>1.0674758339851837E-2</v>
      </c>
      <c r="AF57" s="179">
        <f>G57/G$31</f>
        <v>2.4646167299169474E-3</v>
      </c>
      <c r="AG57" s="179">
        <f>H57/H$31</f>
        <v>1.4725047414049554E-3</v>
      </c>
      <c r="AH57" s="179">
        <f>I57/I$31</f>
        <v>7.7339434569331312E-4</v>
      </c>
      <c r="AI57" s="179">
        <f>J57/J$31</f>
        <v>1.1779933432158874E-3</v>
      </c>
    </row>
    <row r="58" spans="1:35">
      <c r="A58" s="15"/>
      <c r="B58" s="29" t="s">
        <v>198</v>
      </c>
      <c r="C58" s="336">
        <v>0</v>
      </c>
      <c r="D58" s="11">
        <v>875.96</v>
      </c>
      <c r="E58" s="11">
        <v>1186.3499999999999</v>
      </c>
      <c r="F58" s="337">
        <v>274.48</v>
      </c>
      <c r="G58" s="138">
        <v>0</v>
      </c>
      <c r="H58" s="138">
        <v>178.41</v>
      </c>
      <c r="I58" s="138">
        <v>2899.32</v>
      </c>
      <c r="J58" s="170">
        <f>SUM(G58:I58)/9*2+AA58</f>
        <v>1097.94</v>
      </c>
      <c r="K58" s="366">
        <f>SUM(C58:F58)</f>
        <v>2336.79</v>
      </c>
      <c r="L58" s="138">
        <f>SUM(G58:J58)</f>
        <v>4175.67</v>
      </c>
      <c r="M58" s="138">
        <v>4500</v>
      </c>
      <c r="N58" s="404">
        <f>'2019 Prod Budget'!K55+'2019 Prod Budget'!L55</f>
        <v>5500</v>
      </c>
      <c r="O58" s="371">
        <f>L58-K58</f>
        <v>1838.88</v>
      </c>
      <c r="P58" s="178">
        <f>L58-M58</f>
        <v>-324.32999999999993</v>
      </c>
      <c r="Q58" s="372">
        <f>L58-N58</f>
        <v>-1324.33</v>
      </c>
      <c r="S58" s="385">
        <f>K58/K$31</f>
        <v>2.8564017918399531E-3</v>
      </c>
      <c r="T58" s="290">
        <f>L58/L$31</f>
        <v>3.8955873584954372E-3</v>
      </c>
      <c r="U58" s="386">
        <f>N58/N$31</f>
        <v>3.2462626663266945E-3</v>
      </c>
      <c r="V58" s="264"/>
      <c r="W58" s="126" t="s">
        <v>198</v>
      </c>
      <c r="X58" s="138">
        <v>2336.79</v>
      </c>
      <c r="Y58" s="138">
        <v>3491.73</v>
      </c>
      <c r="Z58" s="138">
        <f t="shared" si="60"/>
        <v>3077.73</v>
      </c>
      <c r="AA58" s="138">
        <v>414</v>
      </c>
      <c r="AB58" s="179">
        <f>C58/C$31</f>
        <v>0</v>
      </c>
      <c r="AC58" s="179">
        <f>D58/D$31</f>
        <v>4.4666602383255623E-3</v>
      </c>
      <c r="AD58" s="179">
        <f>E58/E$31</f>
        <v>3.5334191428845778E-3</v>
      </c>
      <c r="AE58" s="179">
        <f>F58/F$31</f>
        <v>1.4291674604894921E-3</v>
      </c>
      <c r="AF58" s="179">
        <f>G58/G$31</f>
        <v>0</v>
      </c>
      <c r="AG58" s="179">
        <f>H58/H$31</f>
        <v>7.2704259399473654E-4</v>
      </c>
      <c r="AH58" s="179">
        <f>I58/I$31</f>
        <v>5.1954811148440345E-3</v>
      </c>
      <c r="AI58" s="179">
        <f>J58/J$31</f>
        <v>5.8615884811890392E-3</v>
      </c>
    </row>
    <row r="59" spans="1:35">
      <c r="A59" s="15"/>
      <c r="B59" s="29" t="s">
        <v>199</v>
      </c>
      <c r="C59" s="336">
        <v>0</v>
      </c>
      <c r="D59" s="11">
        <v>1539.25</v>
      </c>
      <c r="E59" s="11">
        <v>1398.2</v>
      </c>
      <c r="F59" s="337">
        <v>630.4</v>
      </c>
      <c r="G59" s="138">
        <v>0</v>
      </c>
      <c r="H59" s="138">
        <v>0</v>
      </c>
      <c r="I59" s="138">
        <v>5714.24</v>
      </c>
      <c r="J59" s="170">
        <f>SUM(G59:I59)/9*2+AA59</f>
        <v>1332.201111111111</v>
      </c>
      <c r="K59" s="366">
        <f>SUM(C59:F59)</f>
        <v>3567.85</v>
      </c>
      <c r="L59" s="138">
        <f>SUM(G59:J59)</f>
        <v>7046.4411111111112</v>
      </c>
      <c r="M59" s="138">
        <v>12500</v>
      </c>
      <c r="N59" s="404">
        <f>'2019 Prod Budget'!K56+'2019 Prod Budget'!L56</f>
        <v>9500</v>
      </c>
      <c r="O59" s="371">
        <f>L59-K59</f>
        <v>3478.5911111111113</v>
      </c>
      <c r="P59" s="178">
        <f>L59-M59</f>
        <v>-5453.5588888888888</v>
      </c>
      <c r="Q59" s="372">
        <f>L59-N59</f>
        <v>-2453.5588888888888</v>
      </c>
      <c r="S59" s="385">
        <f>K59/K$31</f>
        <v>4.3612019621002219E-3</v>
      </c>
      <c r="T59" s="290">
        <f>L59/L$31</f>
        <v>6.5738017886535537E-3</v>
      </c>
      <c r="U59" s="386">
        <f>N59/N$31</f>
        <v>5.6071809691097445E-3</v>
      </c>
      <c r="V59" s="264"/>
      <c r="W59" s="126" t="s">
        <v>199</v>
      </c>
      <c r="X59" s="138">
        <v>3567.85</v>
      </c>
      <c r="Y59" s="138">
        <v>5776.61</v>
      </c>
      <c r="Z59" s="138">
        <f t="shared" si="60"/>
        <v>5714.24</v>
      </c>
      <c r="AA59" s="138">
        <v>62.37</v>
      </c>
      <c r="AB59" s="179">
        <f>C59/C$31</f>
        <v>0</v>
      </c>
      <c r="AC59" s="179">
        <f>D59/D$31</f>
        <v>7.8488821085924265E-3</v>
      </c>
      <c r="AD59" s="179">
        <f>E59/E$31</f>
        <v>4.1643921655339627E-3</v>
      </c>
      <c r="AE59" s="179">
        <f>F59/F$31</f>
        <v>3.282378195469891E-3</v>
      </c>
      <c r="AF59" s="179">
        <f>G59/G$31</f>
        <v>0</v>
      </c>
      <c r="AG59" s="179">
        <f>H59/H$31</f>
        <v>0</v>
      </c>
      <c r="AH59" s="179">
        <f>I59/I$31</f>
        <v>1.0239720350180861E-2</v>
      </c>
      <c r="AI59" s="179">
        <f>J59/J$31</f>
        <v>7.1122417322587086E-3</v>
      </c>
    </row>
    <row r="60" spans="1:35">
      <c r="A60" s="15"/>
      <c r="B60" s="29" t="s">
        <v>200</v>
      </c>
      <c r="C60" s="336">
        <v>0</v>
      </c>
      <c r="D60" s="11">
        <v>0</v>
      </c>
      <c r="E60" s="11">
        <v>363.78</v>
      </c>
      <c r="F60" s="337">
        <v>157.66999999999999</v>
      </c>
      <c r="G60" s="138">
        <v>0</v>
      </c>
      <c r="H60" s="138">
        <v>62.34</v>
      </c>
      <c r="I60" s="138">
        <v>257.48</v>
      </c>
      <c r="J60" s="170">
        <f>SUM(G60:I60)/9*2+AA60</f>
        <v>3081.0711111111113</v>
      </c>
      <c r="K60" s="366">
        <f>SUM(C60:F60)</f>
        <v>521.44999999999993</v>
      </c>
      <c r="L60" s="138">
        <f>SUM(G60:J60)</f>
        <v>3400.8911111111115</v>
      </c>
      <c r="M60" s="138"/>
      <c r="N60" s="404">
        <f>'2019 Prod Budget'!K57+'2019 Prod Budget'!L57</f>
        <v>4500</v>
      </c>
      <c r="O60" s="371">
        <f>L60-K60</f>
        <v>2879.4411111111117</v>
      </c>
      <c r="P60" s="178">
        <f>L60-M60</f>
        <v>3400.8911111111115</v>
      </c>
      <c r="Q60" s="372">
        <f>L60-N60</f>
        <v>-1099.1088888888885</v>
      </c>
      <c r="S60" s="385">
        <f>K60/K$31</f>
        <v>6.3740032880787046E-4</v>
      </c>
      <c r="T60" s="290">
        <f>L60/L$31</f>
        <v>3.1727766849544976E-3</v>
      </c>
      <c r="U60" s="386">
        <f>N60/N$31</f>
        <v>2.6560330906309319E-3</v>
      </c>
      <c r="V60" s="264"/>
      <c r="W60" s="126" t="s">
        <v>200</v>
      </c>
      <c r="X60" s="138">
        <v>521.45000000000005</v>
      </c>
      <c r="Y60" s="138">
        <v>3329.82</v>
      </c>
      <c r="Z60" s="138">
        <f t="shared" si="60"/>
        <v>319.82000000000016</v>
      </c>
      <c r="AA60" s="138">
        <v>3010</v>
      </c>
      <c r="AB60" s="179">
        <f>C60/C$31</f>
        <v>0</v>
      </c>
      <c r="AC60" s="179">
        <f>D60/D$31</f>
        <v>0</v>
      </c>
      <c r="AD60" s="179">
        <f>E60/E$31</f>
        <v>1.0834806050478794E-3</v>
      </c>
      <c r="AE60" s="179">
        <f>F60/F$31</f>
        <v>8.2095902614171587E-4</v>
      </c>
      <c r="AF60" s="179">
        <f>G60/G$31</f>
        <v>0</v>
      </c>
      <c r="AG60" s="179">
        <f>H60/H$31</f>
        <v>2.5404313272592278E-4</v>
      </c>
      <c r="AH60" s="179">
        <f>I60/I$31</f>
        <v>4.6139525042080277E-4</v>
      </c>
      <c r="AI60" s="179">
        <f>J60/J$31</f>
        <v>1.6448959810748495E-2</v>
      </c>
    </row>
    <row r="61" spans="1:35">
      <c r="A61" s="15"/>
      <c r="B61" s="29" t="s">
        <v>201</v>
      </c>
      <c r="C61" s="336">
        <v>0</v>
      </c>
      <c r="D61" s="11">
        <v>2133.04</v>
      </c>
      <c r="E61" s="11">
        <v>966.77</v>
      </c>
      <c r="F61" s="337">
        <v>1323.27</v>
      </c>
      <c r="G61" s="138">
        <v>22.98</v>
      </c>
      <c r="H61" s="138">
        <v>500.81</v>
      </c>
      <c r="I61" s="138">
        <v>1804.63</v>
      </c>
      <c r="J61" s="170">
        <f>SUM(G61:I61)/9*2+AA61</f>
        <v>517.42666666666673</v>
      </c>
      <c r="K61" s="366">
        <f>SUM(C61:F61)</f>
        <v>4423.08</v>
      </c>
      <c r="L61" s="138">
        <f>SUM(G61:J61)</f>
        <v>2845.8466666666668</v>
      </c>
      <c r="M61" s="138"/>
      <c r="N61" s="404">
        <f>'2019 Prod Budget'!K58+'2019 Prod Budget'!L58</f>
        <v>3000</v>
      </c>
      <c r="O61" s="371">
        <f>L61-K61</f>
        <v>-1577.2333333333331</v>
      </c>
      <c r="P61" s="178">
        <f>L61-M61</f>
        <v>2845.8466666666668</v>
      </c>
      <c r="Q61" s="372">
        <f>L61-N61</f>
        <v>-154.15333333333319</v>
      </c>
      <c r="S61" s="385">
        <f>K61/K$31</f>
        <v>5.4066020641356134E-3</v>
      </c>
      <c r="T61" s="290">
        <f>L61/L$31</f>
        <v>2.6549617902954601E-3</v>
      </c>
      <c r="U61" s="386">
        <f>N61/N$31</f>
        <v>1.7706887270872878E-3</v>
      </c>
      <c r="V61" s="264"/>
      <c r="W61" s="126" t="s">
        <v>201</v>
      </c>
      <c r="X61" s="138">
        <v>4423.08</v>
      </c>
      <c r="Y61" s="138">
        <v>2328.42</v>
      </c>
      <c r="Z61" s="138">
        <f t="shared" si="60"/>
        <v>2328.42</v>
      </c>
      <c r="AA61" s="138">
        <v>0</v>
      </c>
      <c r="AB61" s="179">
        <f>C61/C$31</f>
        <v>0</v>
      </c>
      <c r="AC61" s="179">
        <f>D61/D$31</f>
        <v>1.0876712355310696E-2</v>
      </c>
      <c r="AD61" s="179">
        <f>E61/E$31</f>
        <v>2.8794231253563645E-3</v>
      </c>
      <c r="AE61" s="179">
        <f>F61/F$31</f>
        <v>6.8900263241107916E-3</v>
      </c>
      <c r="AF61" s="179">
        <f>G61/G$31</f>
        <v>2.8318446226745724E-4</v>
      </c>
      <c r="AG61" s="179">
        <f>H61/H$31</f>
        <v>2.0408620677008242E-3</v>
      </c>
      <c r="AH61" s="179">
        <f>I61/I$31</f>
        <v>3.2338345143968204E-3</v>
      </c>
      <c r="AI61" s="179">
        <f>J61/J$31</f>
        <v>2.7623933814173579E-3</v>
      </c>
    </row>
    <row r="62" spans="1:35">
      <c r="A62" s="15"/>
      <c r="B62" s="29" t="s">
        <v>202</v>
      </c>
      <c r="C62" s="336">
        <v>110.7</v>
      </c>
      <c r="D62" s="11">
        <v>2633.6</v>
      </c>
      <c r="E62" s="11">
        <v>0</v>
      </c>
      <c r="F62" s="337">
        <v>0</v>
      </c>
      <c r="G62" s="138">
        <v>0</v>
      </c>
      <c r="H62" s="138">
        <v>358.4</v>
      </c>
      <c r="I62" s="138">
        <v>750</v>
      </c>
      <c r="J62" s="170">
        <f>SUM(G62:I62)/9*2+AA62</f>
        <v>246.31111111111113</v>
      </c>
      <c r="K62" s="366">
        <f>SUM(C62:F62)</f>
        <v>2744.2999999999997</v>
      </c>
      <c r="L62" s="138">
        <f>SUM(G62:J62)</f>
        <v>1354.7111111111112</v>
      </c>
      <c r="M62" s="138"/>
      <c r="N62" s="404">
        <f>'2019 Prod Budget'!K59+'2019 Prod Budget'!L59</f>
        <v>1000</v>
      </c>
      <c r="O62" s="371">
        <f>L62-K62</f>
        <v>-1389.5888888888885</v>
      </c>
      <c r="P62" s="178">
        <f>L62-M62</f>
        <v>1354.7111111111112</v>
      </c>
      <c r="Q62" s="372">
        <f>L62-N62</f>
        <v>354.71111111111122</v>
      </c>
      <c r="S62" s="385">
        <f>K62/K$31</f>
        <v>3.3545262678060001E-3</v>
      </c>
      <c r="T62" s="290">
        <f>L62/L$31</f>
        <v>1.2638440008089127E-3</v>
      </c>
      <c r="U62" s="386">
        <f>N62/N$31</f>
        <v>5.902295756957626E-4</v>
      </c>
      <c r="V62" s="264"/>
      <c r="W62" s="126" t="s">
        <v>202</v>
      </c>
      <c r="X62" s="138">
        <v>2744.3</v>
      </c>
      <c r="Y62" s="138">
        <v>1108.4000000000001</v>
      </c>
      <c r="Z62" s="138">
        <f t="shared" si="60"/>
        <v>1108.4000000000001</v>
      </c>
      <c r="AA62" s="138">
        <v>0</v>
      </c>
      <c r="AB62" s="179">
        <f>C62/C$31</f>
        <v>1.1755234982050171E-3</v>
      </c>
      <c r="AC62" s="179">
        <f>D62/D$31</f>
        <v>1.3429147910468743E-2</v>
      </c>
      <c r="AD62" s="179">
        <f>E62/E$31</f>
        <v>0</v>
      </c>
      <c r="AE62" s="179">
        <f>F62/F$31</f>
        <v>0</v>
      </c>
      <c r="AF62" s="179">
        <f>G62/G$31</f>
        <v>0</v>
      </c>
      <c r="AG62" s="179">
        <f>H62/H$31</f>
        <v>1.4605238814400178E-3</v>
      </c>
      <c r="AH62" s="179">
        <f>I62/I$31</f>
        <v>1.34397404775362E-3</v>
      </c>
      <c r="AI62" s="179">
        <f>J62/J$31</f>
        <v>1.3149847639012718E-3</v>
      </c>
    </row>
    <row r="63" spans="1:35">
      <c r="A63" s="15"/>
      <c r="B63" s="29" t="s">
        <v>203</v>
      </c>
      <c r="C63" s="336">
        <v>0</v>
      </c>
      <c r="D63" s="11">
        <v>0</v>
      </c>
      <c r="E63" s="11">
        <v>0</v>
      </c>
      <c r="F63" s="337">
        <v>900</v>
      </c>
      <c r="G63" s="138">
        <v>0</v>
      </c>
      <c r="H63" s="138">
        <v>0</v>
      </c>
      <c r="I63" s="138">
        <v>87.1</v>
      </c>
      <c r="J63" s="170">
        <f>SUM(G63:I63)/9*2+AA63</f>
        <v>19.355555555555554</v>
      </c>
      <c r="K63" s="366">
        <f>SUM(C63:F63)</f>
        <v>900</v>
      </c>
      <c r="L63" s="138">
        <f>SUM(G63:J63)</f>
        <v>106.45555555555555</v>
      </c>
      <c r="M63" s="138"/>
      <c r="N63" s="404">
        <f>'2019 Prod Budget'!K60+'2019 Prod Budget'!L60</f>
        <v>5000</v>
      </c>
      <c r="O63" s="371">
        <f>L63-K63</f>
        <v>-793.54444444444448</v>
      </c>
      <c r="P63" s="178">
        <f>L63-M63</f>
        <v>106.45555555555555</v>
      </c>
      <c r="Q63" s="372">
        <f>L63-N63</f>
        <v>-4893.5444444444447</v>
      </c>
      <c r="S63" s="385">
        <f>K63/K$31</f>
        <v>1.1001252199196155E-3</v>
      </c>
      <c r="T63" s="290">
        <f>L63/L$31</f>
        <v>9.9315059969736798E-5</v>
      </c>
      <c r="U63" s="386">
        <f>N63/N$31</f>
        <v>2.951147878478813E-3</v>
      </c>
      <c r="V63" s="264"/>
      <c r="W63" s="126" t="s">
        <v>203</v>
      </c>
      <c r="X63" s="138">
        <v>900</v>
      </c>
      <c r="Y63" s="138">
        <v>87.1</v>
      </c>
      <c r="Z63" s="138">
        <f t="shared" si="60"/>
        <v>87.1</v>
      </c>
      <c r="AA63" s="138">
        <v>0</v>
      </c>
      <c r="AB63" s="179">
        <f>C63/C$31</f>
        <v>0</v>
      </c>
      <c r="AC63" s="179">
        <f>D63/D$31</f>
        <v>0</v>
      </c>
      <c r="AD63" s="179">
        <f>E63/E$31</f>
        <v>0</v>
      </c>
      <c r="AE63" s="179">
        <f>F63/F$31</f>
        <v>4.6861363831264312E-3</v>
      </c>
      <c r="AF63" s="179">
        <f>G63/G$31</f>
        <v>0</v>
      </c>
      <c r="AG63" s="179">
        <f>H63/H$31</f>
        <v>0</v>
      </c>
      <c r="AH63" s="179">
        <f>I63/I$31</f>
        <v>1.5608018607912038E-4</v>
      </c>
      <c r="AI63" s="179">
        <f>J63/J$31</f>
        <v>1.0333379009004038E-4</v>
      </c>
    </row>
    <row r="64" spans="1:35" s="3" customFormat="1">
      <c r="A64" s="65" t="s">
        <v>204</v>
      </c>
      <c r="B64" s="112"/>
      <c r="C64" s="338">
        <f>SUM(C52:C63)</f>
        <v>23094.38</v>
      </c>
      <c r="D64" s="180">
        <f t="shared" ref="D64:F64" si="61">SUM(D52:D63)</f>
        <v>58007.71</v>
      </c>
      <c r="E64" s="180">
        <f t="shared" si="61"/>
        <v>71883.81</v>
      </c>
      <c r="F64" s="339">
        <f t="shared" si="61"/>
        <v>21417.77</v>
      </c>
      <c r="G64" s="180">
        <f>SUM(G52:G63)</f>
        <v>27621.469999999998</v>
      </c>
      <c r="H64" s="180">
        <f t="shared" ref="H64" si="62">SUM(H52:H63)</f>
        <v>93550.889999999985</v>
      </c>
      <c r="I64" s="180">
        <f t="shared" ref="I64" si="63">SUM(I52:I63)</f>
        <v>90566.900000000023</v>
      </c>
      <c r="J64" s="309">
        <f t="shared" ref="J64" si="64">SUM(J52:J63)</f>
        <v>50386.388888888891</v>
      </c>
      <c r="K64" s="338">
        <f>SUM(K52:K63)</f>
        <v>174403.66999999998</v>
      </c>
      <c r="L64" s="140">
        <f t="shared" ref="L64" si="65">SUM(L52:L63)</f>
        <v>262125.64888888891</v>
      </c>
      <c r="M64" s="140">
        <f t="shared" ref="M64" si="66">SUM(M52:M63)</f>
        <v>172040</v>
      </c>
      <c r="N64" s="341">
        <f t="shared" ref="N64" si="67">SUM(N52:N63)</f>
        <v>260600</v>
      </c>
      <c r="O64" s="338">
        <f t="shared" ref="O64" si="68">SUM(O52:O63)</f>
        <v>87721.978888888887</v>
      </c>
      <c r="P64" s="180">
        <f t="shared" ref="P64" si="69">SUM(P52:P63)</f>
        <v>90085.6488888889</v>
      </c>
      <c r="Q64" s="339">
        <f t="shared" ref="Q64" si="70">SUM(Q52:Q63)</f>
        <v>1525.6488888888916</v>
      </c>
      <c r="R64"/>
      <c r="S64" s="387">
        <f>K64/K$31</f>
        <v>0.21318430645948669</v>
      </c>
      <c r="T64" s="291">
        <f>L64/L$31</f>
        <v>0.24454359759007996</v>
      </c>
      <c r="U64" s="388">
        <f>N64/N$31</f>
        <v>0.15381382742631575</v>
      </c>
      <c r="V64" s="265"/>
      <c r="W64" s="173" t="s">
        <v>204</v>
      </c>
      <c r="X64" s="140">
        <f t="shared" ref="X64" si="71">SUM(X52:X63)</f>
        <v>174403.66999999998</v>
      </c>
      <c r="Y64" s="140">
        <f t="shared" ref="Y64" si="72">SUM(Y52:Y63)</f>
        <v>215072.48</v>
      </c>
      <c r="Z64" s="140">
        <f t="shared" ref="Z64" si="73">SUM(Z52:Z63)</f>
        <v>211739.26000000004</v>
      </c>
      <c r="AA64" s="140">
        <f t="shared" ref="AA64" si="74">SUM(AA52:AA63)</f>
        <v>3333.2200000000003</v>
      </c>
      <c r="AB64" s="182">
        <f>C64/C$31</f>
        <v>0.24523926256979209</v>
      </c>
      <c r="AC64" s="182">
        <f>D64/D$31</f>
        <v>0.29579059748541037</v>
      </c>
      <c r="AD64" s="182">
        <f>E64/E$31</f>
        <v>0.21409839450202539</v>
      </c>
      <c r="AE64" s="182">
        <f>F64/F$31</f>
        <v>0.11151843471381531</v>
      </c>
      <c r="AF64" s="182">
        <f>G64/G$31</f>
        <v>0.34038168533449525</v>
      </c>
      <c r="AG64" s="182">
        <f>H64/H$31</f>
        <v>0.38123133084533517</v>
      </c>
      <c r="AH64" s="182">
        <f>I64/I$31</f>
        <v>0.16229275091399648</v>
      </c>
      <c r="AI64" s="182">
        <f>J64/J$31</f>
        <v>0.26899855795382488</v>
      </c>
    </row>
    <row r="65" spans="1:35" s="3" customFormat="1">
      <c r="A65" s="307" t="s">
        <v>205</v>
      </c>
      <c r="B65" s="311"/>
      <c r="C65" s="340">
        <f>C49+C64</f>
        <v>24176.47</v>
      </c>
      <c r="D65" s="308">
        <f>D49+D64</f>
        <v>85182.9</v>
      </c>
      <c r="E65" s="308">
        <f>E49+E64</f>
        <v>253532.86</v>
      </c>
      <c r="F65" s="341">
        <f>F49+F64</f>
        <v>29513.26</v>
      </c>
      <c r="G65" s="308">
        <f>G49+G64</f>
        <v>25771.289999999997</v>
      </c>
      <c r="H65" s="308">
        <f>H49+H64</f>
        <v>129548.44999999998</v>
      </c>
      <c r="I65" s="308">
        <f>I49+I64</f>
        <v>302688.71000000002</v>
      </c>
      <c r="J65" s="309">
        <f>J49+J64</f>
        <v>122005.32555555557</v>
      </c>
      <c r="K65" s="340">
        <f>K49+K64</f>
        <v>392405.49</v>
      </c>
      <c r="L65" s="308">
        <f>L49+L64</f>
        <v>580013.77555555559</v>
      </c>
      <c r="M65" s="308">
        <f>M49+M64</f>
        <v>389361.5</v>
      </c>
      <c r="N65" s="341">
        <f>N49+N64</f>
        <v>554610.87666666671</v>
      </c>
      <c r="O65" s="340">
        <f>O49+O64</f>
        <v>187608.28555555554</v>
      </c>
      <c r="P65" s="308">
        <f>P49+P64</f>
        <v>190652.27555555559</v>
      </c>
      <c r="Q65" s="341">
        <f>Q49+Q64</f>
        <v>25402.898888888878</v>
      </c>
      <c r="R65"/>
      <c r="S65" s="389">
        <f>K65/K$31</f>
        <v>0.47966130664879381</v>
      </c>
      <c r="T65" s="312">
        <f>L65/L$31</f>
        <v>0.54110941041974869</v>
      </c>
      <c r="U65" s="390">
        <f>N65/N$31</f>
        <v>0.32734774241122161</v>
      </c>
      <c r="V65" s="265"/>
      <c r="W65" s="173" t="s">
        <v>205</v>
      </c>
      <c r="X65" s="140">
        <f>X49+X64</f>
        <v>392405.49</v>
      </c>
      <c r="Y65" s="140">
        <f>Y49+Y64</f>
        <v>478234.12</v>
      </c>
      <c r="Z65" s="140">
        <f>Z49+Z64</f>
        <v>458008.45000000007</v>
      </c>
      <c r="AA65" s="140">
        <f>AA49+AA64</f>
        <v>20225.669999999998</v>
      </c>
      <c r="AB65" s="182">
        <f>C65/C$31</f>
        <v>0.25672997821724164</v>
      </c>
      <c r="AC65" s="182">
        <f>D65/D$31</f>
        <v>0.43436124071334592</v>
      </c>
      <c r="AD65" s="182">
        <f>E65/E$31</f>
        <v>0.75512105270306029</v>
      </c>
      <c r="AE65" s="182">
        <f>F65/F$31</f>
        <v>0.15367017941185551</v>
      </c>
      <c r="AF65" s="182">
        <f>G65/G$31</f>
        <v>0.31758176242770658</v>
      </c>
      <c r="AG65" s="182">
        <f>H65/H$31</f>
        <v>0.52792579528051919</v>
      </c>
      <c r="AH65" s="182">
        <f>I65/I$31</f>
        <v>0.54240769438402892</v>
      </c>
      <c r="AI65" s="182">
        <f>J65/J$31</f>
        <v>0.6513516320747611</v>
      </c>
    </row>
    <row r="66" spans="1:35">
      <c r="A66" s="15"/>
      <c r="B66" s="29"/>
      <c r="C66" s="336"/>
      <c r="D66" s="11"/>
      <c r="E66" s="11"/>
      <c r="F66" s="337"/>
      <c r="G66" s="138"/>
      <c r="H66" s="138"/>
      <c r="I66" s="138"/>
      <c r="J66" s="170"/>
      <c r="K66" s="366"/>
      <c r="L66" s="138"/>
      <c r="M66" s="138"/>
      <c r="N66" s="404"/>
      <c r="O66" s="371"/>
      <c r="P66" s="178"/>
      <c r="Q66" s="372"/>
      <c r="S66" s="385"/>
      <c r="T66" s="290"/>
      <c r="U66" s="386"/>
      <c r="V66" s="264"/>
      <c r="W66" s="286"/>
      <c r="X66" s="139"/>
      <c r="Y66" s="139"/>
      <c r="Z66" s="139"/>
      <c r="AA66" s="139"/>
      <c r="AB66" s="179"/>
      <c r="AC66" s="179"/>
      <c r="AD66" s="179"/>
      <c r="AE66" s="179"/>
      <c r="AF66" s="179"/>
      <c r="AG66" s="179"/>
      <c r="AH66" s="179"/>
      <c r="AI66" s="179"/>
    </row>
    <row r="67" spans="1:35" s="3" customFormat="1">
      <c r="A67" s="275" t="s">
        <v>322</v>
      </c>
      <c r="B67" s="277"/>
      <c r="C67" s="344"/>
      <c r="D67" s="282"/>
      <c r="E67" s="282"/>
      <c r="F67" s="345"/>
      <c r="G67" s="137"/>
      <c r="H67" s="137"/>
      <c r="I67" s="137"/>
      <c r="J67" s="400"/>
      <c r="K67" s="369"/>
      <c r="L67" s="137"/>
      <c r="M67" s="137"/>
      <c r="N67" s="406"/>
      <c r="O67" s="377"/>
      <c r="P67" s="279"/>
      <c r="Q67" s="378"/>
      <c r="R67"/>
      <c r="S67" s="393"/>
      <c r="T67" s="293"/>
      <c r="U67" s="394"/>
      <c r="V67" s="265"/>
      <c r="W67" s="276" t="s">
        <v>322</v>
      </c>
      <c r="X67" s="141"/>
      <c r="Y67" s="141"/>
      <c r="Z67" s="141"/>
      <c r="AA67" s="141"/>
      <c r="AB67" s="182"/>
      <c r="AC67" s="182"/>
      <c r="AD67" s="182"/>
      <c r="AE67" s="182"/>
      <c r="AF67" s="182"/>
      <c r="AG67" s="182"/>
      <c r="AH67" s="182"/>
      <c r="AI67" s="182"/>
    </row>
    <row r="68" spans="1:35" s="3" customFormat="1">
      <c r="A68" s="65" t="s">
        <v>323</v>
      </c>
      <c r="B68" s="112"/>
      <c r="C68" s="338"/>
      <c r="D68" s="180"/>
      <c r="E68" s="180"/>
      <c r="F68" s="339"/>
      <c r="G68" s="140"/>
      <c r="H68" s="140"/>
      <c r="I68" s="140"/>
      <c r="J68" s="309"/>
      <c r="K68" s="367"/>
      <c r="L68" s="140"/>
      <c r="M68" s="140"/>
      <c r="N68" s="341"/>
      <c r="O68" s="373"/>
      <c r="P68" s="181"/>
      <c r="Q68" s="374"/>
      <c r="R68"/>
      <c r="S68" s="387"/>
      <c r="T68" s="291"/>
      <c r="U68" s="388"/>
      <c r="V68" s="265"/>
      <c r="W68" s="173" t="s">
        <v>323</v>
      </c>
      <c r="X68" s="138"/>
      <c r="Y68" s="138"/>
      <c r="Z68" s="138"/>
      <c r="AA68" s="138"/>
      <c r="AB68" s="182"/>
      <c r="AC68" s="182"/>
      <c r="AD68" s="182"/>
      <c r="AE68" s="182"/>
      <c r="AF68" s="182"/>
      <c r="AG68" s="182"/>
      <c r="AH68" s="182"/>
      <c r="AI68" s="182"/>
    </row>
    <row r="69" spans="1:35">
      <c r="A69" s="15"/>
      <c r="B69" s="29" t="s">
        <v>324</v>
      </c>
      <c r="C69" s="336">
        <v>24431.81</v>
      </c>
      <c r="D69" s="11">
        <v>26457.19</v>
      </c>
      <c r="E69" s="11">
        <v>30579.39</v>
      </c>
      <c r="F69" s="337">
        <v>28641.38</v>
      </c>
      <c r="G69" s="138">
        <v>31686.6</v>
      </c>
      <c r="H69" s="138">
        <v>31170.63</v>
      </c>
      <c r="I69" s="138">
        <v>35880.06</v>
      </c>
      <c r="J69" s="170">
        <f>SUM(G69:I69)/9*2+AA69</f>
        <v>36410.85</v>
      </c>
      <c r="K69" s="366">
        <f>SUM(C69:F69)</f>
        <v>110109.77</v>
      </c>
      <c r="L69" s="138">
        <f>SUM(G69:J69)</f>
        <v>135148.13999999998</v>
      </c>
      <c r="M69" s="138">
        <v>282350</v>
      </c>
      <c r="N69" s="404">
        <f>Payroll!B15</f>
        <v>334760</v>
      </c>
      <c r="O69" s="371">
        <f>L69-K69</f>
        <v>25038.369999999981</v>
      </c>
      <c r="P69" s="178">
        <f>L69-M69</f>
        <v>-147201.86000000002</v>
      </c>
      <c r="Q69" s="372">
        <f>L69-N69</f>
        <v>-199611.86000000002</v>
      </c>
      <c r="S69" s="385">
        <f>K69/K$31</f>
        <v>0.13459392770727585</v>
      </c>
      <c r="T69" s="290">
        <f>L69/L$31</f>
        <v>0.12608309222428291</v>
      </c>
      <c r="U69" s="386">
        <f>N69/N$31</f>
        <v>0.19758525275991348</v>
      </c>
      <c r="V69" s="264"/>
      <c r="W69" s="126" t="s">
        <v>324</v>
      </c>
      <c r="X69" s="138">
        <v>110109.77</v>
      </c>
      <c r="Y69" s="138">
        <v>113206.52</v>
      </c>
      <c r="Z69" s="138">
        <f>Y69-AA69</f>
        <v>98737.290000000008</v>
      </c>
      <c r="AA69" s="138">
        <v>14469.23</v>
      </c>
      <c r="AB69" s="179">
        <f>C69/C$31</f>
        <v>0.25944143413442022</v>
      </c>
      <c r="AC69" s="179">
        <f>D69/D$31</f>
        <v>0.13490944631127524</v>
      </c>
      <c r="AD69" s="179">
        <f>E69/E$31</f>
        <v>9.1077508326997278E-2</v>
      </c>
      <c r="AE69" s="179">
        <f>F69/F$31</f>
        <v>0.14913045875661077</v>
      </c>
      <c r="AF69" s="179">
        <f>G69/G$31</f>
        <v>0.39047662237093167</v>
      </c>
      <c r="AG69" s="179">
        <f>H69/H$31</f>
        <v>0.12702413369009671</v>
      </c>
      <c r="AH69" s="179">
        <f>I69/I$31</f>
        <v>6.429582596245699E-2</v>
      </c>
      <c r="AI69" s="179">
        <f>J69/J$31</f>
        <v>0.19438714223937728</v>
      </c>
    </row>
    <row r="70" spans="1:35">
      <c r="A70" s="15"/>
      <c r="B70" s="29" t="s">
        <v>325</v>
      </c>
      <c r="C70" s="336">
        <v>9784.82</v>
      </c>
      <c r="D70" s="11">
        <v>9786.1299999999992</v>
      </c>
      <c r="E70" s="11">
        <v>11470.03</v>
      </c>
      <c r="F70" s="337">
        <v>10011.43</v>
      </c>
      <c r="G70" s="138">
        <v>13987.23</v>
      </c>
      <c r="H70" s="138">
        <v>10890.6</v>
      </c>
      <c r="I70" s="138">
        <v>12963.63</v>
      </c>
      <c r="J70" s="170">
        <f>SUM(G70:I70)/9*2+AA70</f>
        <v>14742.823333333334</v>
      </c>
      <c r="K70" s="366">
        <f>SUM(C70:F70)</f>
        <v>41052.409999999996</v>
      </c>
      <c r="L70" s="138">
        <f>SUM(G70:J70)</f>
        <v>52584.283333333333</v>
      </c>
      <c r="M70" s="138"/>
      <c r="N70" s="404">
        <f>Payroll!C15</f>
        <v>35283.703999999998</v>
      </c>
      <c r="O70" s="371">
        <f>L70-K70</f>
        <v>11531.873333333337</v>
      </c>
      <c r="P70" s="178">
        <f>L70-M70</f>
        <v>52584.283333333333</v>
      </c>
      <c r="Q70" s="372">
        <f>L70-N70</f>
        <v>17300.579333333335</v>
      </c>
      <c r="S70" s="385">
        <f>K70/K$31</f>
        <v>5.0180879532755795E-2</v>
      </c>
      <c r="T70" s="290">
        <f>L70/L$31</f>
        <v>4.9057197864983491E-2</v>
      </c>
      <c r="U70" s="386">
        <f>N70/N$31</f>
        <v>2.082548564089488E-2</v>
      </c>
      <c r="V70" s="264"/>
      <c r="W70" s="126" t="s">
        <v>325</v>
      </c>
      <c r="X70" s="138">
        <v>41052.410000000003</v>
      </c>
      <c r="Y70" s="138">
        <v>44175.07</v>
      </c>
      <c r="Z70" s="138">
        <f>Y70-AA70</f>
        <v>37841.46</v>
      </c>
      <c r="AA70" s="138">
        <v>6333.61</v>
      </c>
      <c r="AB70" s="179">
        <f>C70/C$31</f>
        <v>0.10390502109942561</v>
      </c>
      <c r="AC70" s="179">
        <f>D70/D$31</f>
        <v>4.9901043150469115E-2</v>
      </c>
      <c r="AD70" s="179">
        <f>E70/E$31</f>
        <v>3.4162282270375856E-2</v>
      </c>
      <c r="AE70" s="179">
        <f>F70/F$31</f>
        <v>5.2127695966803826E-2</v>
      </c>
      <c r="AF70" s="179">
        <f>G70/G$31</f>
        <v>0.17236580531598111</v>
      </c>
      <c r="AG70" s="179">
        <f>H70/H$31</f>
        <v>4.438052841297617E-2</v>
      </c>
      <c r="AH70" s="179">
        <f>I70/I$31</f>
        <v>2.3230376379573679E-2</v>
      </c>
      <c r="AI70" s="179">
        <f>J70/J$31</f>
        <v>7.870772850144056E-2</v>
      </c>
    </row>
    <row r="71" spans="1:35">
      <c r="A71" s="15"/>
      <c r="B71" s="29" t="s">
        <v>326</v>
      </c>
      <c r="C71" s="336">
        <v>0</v>
      </c>
      <c r="D71" s="11">
        <v>0</v>
      </c>
      <c r="E71" s="11">
        <v>0</v>
      </c>
      <c r="F71" s="337">
        <v>0</v>
      </c>
      <c r="G71" s="138">
        <v>0</v>
      </c>
      <c r="H71" s="138">
        <v>1992</v>
      </c>
      <c r="I71" s="138">
        <v>0</v>
      </c>
      <c r="J71" s="170">
        <f>SUM(G71:I71)/9*2+AA71</f>
        <v>442.66666666666669</v>
      </c>
      <c r="K71" s="366">
        <f>SUM(C71:F71)</f>
        <v>0</v>
      </c>
      <c r="L71" s="138">
        <f>SUM(G71:J71)</f>
        <v>2434.6666666666665</v>
      </c>
      <c r="M71" s="138"/>
      <c r="N71" s="404">
        <f>Payroll!D15</f>
        <v>18846</v>
      </c>
      <c r="O71" s="371">
        <f>L71-K71</f>
        <v>2434.6666666666665</v>
      </c>
      <c r="P71" s="178">
        <f>L71-M71</f>
        <v>2434.6666666666665</v>
      </c>
      <c r="Q71" s="372">
        <f>L71-N71</f>
        <v>-16411.333333333332</v>
      </c>
      <c r="S71" s="385">
        <f>K71/K$31</f>
        <v>0</v>
      </c>
      <c r="T71" s="290">
        <f>L71/L$31</f>
        <v>2.2713616470690667E-3</v>
      </c>
      <c r="U71" s="386">
        <f>N71/N$31</f>
        <v>1.1123466583562343E-2</v>
      </c>
      <c r="V71" s="264"/>
      <c r="W71" s="126" t="s">
        <v>326</v>
      </c>
      <c r="X71" s="138">
        <v>0</v>
      </c>
      <c r="Y71" s="138">
        <v>1992</v>
      </c>
      <c r="Z71" s="138">
        <f>Y71-AA71</f>
        <v>1992</v>
      </c>
      <c r="AA71" s="138">
        <v>0</v>
      </c>
      <c r="AB71" s="179">
        <f>C71/C$31</f>
        <v>0</v>
      </c>
      <c r="AC71" s="179">
        <f>D71/D$31</f>
        <v>0</v>
      </c>
      <c r="AD71" s="179">
        <f>E71/E$31</f>
        <v>0</v>
      </c>
      <c r="AE71" s="179">
        <f>F71/F$31</f>
        <v>0</v>
      </c>
      <c r="AF71" s="179">
        <f>G71/G$31</f>
        <v>0</v>
      </c>
      <c r="AG71" s="179">
        <f>H71/H$31</f>
        <v>8.1176438946108133E-3</v>
      </c>
      <c r="AH71" s="179">
        <f>I71/I$31</f>
        <v>0</v>
      </c>
      <c r="AI71" s="179">
        <f>J71/J$31</f>
        <v>2.3632710661235417E-3</v>
      </c>
    </row>
    <row r="72" spans="1:35">
      <c r="A72" s="15"/>
      <c r="B72" s="29" t="s">
        <v>327</v>
      </c>
      <c r="C72" s="336">
        <v>2499</v>
      </c>
      <c r="D72" s="11">
        <v>0</v>
      </c>
      <c r="E72" s="11">
        <v>0</v>
      </c>
      <c r="F72" s="337">
        <v>-1041</v>
      </c>
      <c r="G72" s="138">
        <v>0</v>
      </c>
      <c r="H72" s="138">
        <v>2627</v>
      </c>
      <c r="I72" s="138">
        <v>0</v>
      </c>
      <c r="J72" s="170">
        <f>SUM(G72:I72)/9*2+AA72</f>
        <v>583.77777777777783</v>
      </c>
      <c r="K72" s="366">
        <f>SUM(C72:F72)</f>
        <v>1458</v>
      </c>
      <c r="L72" s="138">
        <f>SUM(G72:J72)</f>
        <v>3210.7777777777778</v>
      </c>
      <c r="M72" s="138"/>
      <c r="N72" s="404"/>
      <c r="O72" s="371">
        <f>L72-K72</f>
        <v>1752.7777777777778</v>
      </c>
      <c r="P72" s="178">
        <f>L72-M72</f>
        <v>3210.7777777777778</v>
      </c>
      <c r="Q72" s="372">
        <f>L72-N72</f>
        <v>3210.7777777777778</v>
      </c>
      <c r="S72" s="385">
        <f>K72/K$31</f>
        <v>1.782202856269777E-3</v>
      </c>
      <c r="T72" s="290">
        <f>L72/L$31</f>
        <v>2.9954151841618667E-3</v>
      </c>
      <c r="U72" s="386">
        <f>N72/N$31</f>
        <v>0</v>
      </c>
      <c r="V72" s="264"/>
      <c r="W72" s="126" t="s">
        <v>327</v>
      </c>
      <c r="X72" s="138">
        <v>1458</v>
      </c>
      <c r="Y72" s="138">
        <v>2627</v>
      </c>
      <c r="Z72" s="138">
        <f>Y72-AA72</f>
        <v>2627</v>
      </c>
      <c r="AA72" s="138">
        <v>0</v>
      </c>
      <c r="AB72" s="179">
        <f>C72/C$31</f>
        <v>2.6536885474384261E-2</v>
      </c>
      <c r="AC72" s="179">
        <f>D72/D$31</f>
        <v>0</v>
      </c>
      <c r="AD72" s="179">
        <f>E72/E$31</f>
        <v>0</v>
      </c>
      <c r="AE72" s="179">
        <f>F72/F$31</f>
        <v>-5.4202977498162387E-3</v>
      </c>
      <c r="AF72" s="179">
        <f>G72/G$31</f>
        <v>0</v>
      </c>
      <c r="AG72" s="179">
        <f>H72/H$31</f>
        <v>1.0705346642139863E-2</v>
      </c>
      <c r="AH72" s="179">
        <f>I72/I$31</f>
        <v>0</v>
      </c>
      <c r="AI72" s="179">
        <f>J72/J$31</f>
        <v>3.116623037503285E-3</v>
      </c>
    </row>
    <row r="73" spans="1:35">
      <c r="A73" s="15"/>
      <c r="B73" s="29" t="s">
        <v>328</v>
      </c>
      <c r="C73" s="336">
        <v>1694.61</v>
      </c>
      <c r="D73" s="11">
        <v>539.64</v>
      </c>
      <c r="E73" s="11">
        <v>926.23</v>
      </c>
      <c r="F73" s="337">
        <v>652.92999999999995</v>
      </c>
      <c r="G73" s="138">
        <v>1108.72</v>
      </c>
      <c r="H73" s="138">
        <v>584.5</v>
      </c>
      <c r="I73" s="138">
        <v>1034.3</v>
      </c>
      <c r="J73" s="170">
        <f>SUM(G73:I73)/9*2+AA73</f>
        <v>884.98555555555561</v>
      </c>
      <c r="K73" s="366">
        <f>SUM(C73:F73)</f>
        <v>3813.41</v>
      </c>
      <c r="L73" s="138">
        <f>SUM(G73:J73)</f>
        <v>3612.5055555555555</v>
      </c>
      <c r="M73" s="138"/>
      <c r="N73" s="404"/>
      <c r="O73" s="371">
        <f>L73-K73</f>
        <v>-200.90444444444438</v>
      </c>
      <c r="P73" s="178">
        <f>L73-M73</f>
        <v>3612.5055555555555</v>
      </c>
      <c r="Q73" s="372">
        <f>L73-N73</f>
        <v>3612.5055555555555</v>
      </c>
      <c r="S73" s="385">
        <f>K73/K$31</f>
        <v>4.6613650165485115E-3</v>
      </c>
      <c r="T73" s="290">
        <f>L73/L$31</f>
        <v>3.3701971120123852E-3</v>
      </c>
      <c r="U73" s="386">
        <f>N73/N$31</f>
        <v>0</v>
      </c>
      <c r="V73" s="264"/>
      <c r="W73" s="126" t="s">
        <v>328</v>
      </c>
      <c r="X73" s="138">
        <v>3813.41</v>
      </c>
      <c r="Y73" s="138">
        <v>3006.39</v>
      </c>
      <c r="Z73" s="138">
        <f>Y73-AA73</f>
        <v>2727.52</v>
      </c>
      <c r="AA73" s="138">
        <v>278.87</v>
      </c>
      <c r="AB73" s="179">
        <f>C73/C$31</f>
        <v>1.7995066624148182E-2</v>
      </c>
      <c r="AC73" s="179">
        <f>D73/D$31</f>
        <v>2.7517107299534298E-3</v>
      </c>
      <c r="AD73" s="179">
        <f>E73/E$31</f>
        <v>2.7586789840384224E-3</v>
      </c>
      <c r="AE73" s="179">
        <f>F73/F$31</f>
        <v>3.3996878095941558E-3</v>
      </c>
      <c r="AF73" s="179">
        <f>G73/G$31</f>
        <v>1.3662849303967588E-2</v>
      </c>
      <c r="AG73" s="179">
        <f>H73/H$31</f>
        <v>2.3819090644578416E-3</v>
      </c>
      <c r="AH73" s="179">
        <f>I73/I$31</f>
        <v>1.8534298101220922E-3</v>
      </c>
      <c r="AI73" s="179">
        <f>J73/J$31</f>
        <v>4.724685445892423E-3</v>
      </c>
    </row>
    <row r="74" spans="1:35" s="3" customFormat="1">
      <c r="A74" s="65" t="s">
        <v>329</v>
      </c>
      <c r="B74" s="112"/>
      <c r="C74" s="338">
        <f>SUM(C69:C73)</f>
        <v>38410.240000000005</v>
      </c>
      <c r="D74" s="180">
        <f t="shared" ref="D74:F74" si="75">SUM(D69:D73)</f>
        <v>36782.959999999999</v>
      </c>
      <c r="E74" s="180">
        <f t="shared" si="75"/>
        <v>42975.65</v>
      </c>
      <c r="F74" s="339">
        <f t="shared" si="75"/>
        <v>38264.74</v>
      </c>
      <c r="G74" s="180">
        <f t="shared" ref="G74:J74" si="76">SUM(G69:G73)</f>
        <v>46782.55</v>
      </c>
      <c r="H74" s="180">
        <f t="shared" si="76"/>
        <v>47264.73</v>
      </c>
      <c r="I74" s="180">
        <f t="shared" si="76"/>
        <v>49877.99</v>
      </c>
      <c r="J74" s="309">
        <f t="shared" si="76"/>
        <v>53065.103333333333</v>
      </c>
      <c r="K74" s="338">
        <f t="shared" ref="K74:N74" si="77">SUM(K69:K73)</f>
        <v>156433.59</v>
      </c>
      <c r="L74" s="140">
        <f t="shared" si="77"/>
        <v>196990.37333333329</v>
      </c>
      <c r="M74" s="140">
        <f t="shared" si="77"/>
        <v>282350</v>
      </c>
      <c r="N74" s="341">
        <f t="shared" si="77"/>
        <v>388889.70400000003</v>
      </c>
      <c r="O74" s="338">
        <f t="shared" ref="O74" si="78">SUM(O69:O73)</f>
        <v>40556.783333333318</v>
      </c>
      <c r="P74" s="180">
        <f t="shared" ref="P74" si="79">SUM(P69:P73)</f>
        <v>-85359.626666666678</v>
      </c>
      <c r="Q74" s="339">
        <f t="shared" ref="Q74" si="80">SUM(Q69:Q73)</f>
        <v>-191899.3306666667</v>
      </c>
      <c r="R74"/>
      <c r="S74" s="387">
        <f>K74/K$31</f>
        <v>0.19121837511284995</v>
      </c>
      <c r="T74" s="291">
        <f>L74/L$31</f>
        <v>0.18377726403250971</v>
      </c>
      <c r="U74" s="388">
        <f>N74/N$31</f>
        <v>0.22953420498437074</v>
      </c>
      <c r="V74" s="265"/>
      <c r="W74" s="173" t="s">
        <v>329</v>
      </c>
      <c r="X74" s="140">
        <f t="shared" ref="X74" si="81">SUM(X69:X73)</f>
        <v>156433.59</v>
      </c>
      <c r="Y74" s="140">
        <f t="shared" ref="Y74" si="82">SUM(Y69:Y73)</f>
        <v>165006.98000000001</v>
      </c>
      <c r="Z74" s="140">
        <f t="shared" ref="Z74" si="83">SUM(Z69:Z73)</f>
        <v>143925.26999999999</v>
      </c>
      <c r="AA74" s="140">
        <f t="shared" ref="AA74" si="84">SUM(AA69:AA73)</f>
        <v>21081.71</v>
      </c>
      <c r="AB74" s="182">
        <f>C74/C$31</f>
        <v>0.40787840733237835</v>
      </c>
      <c r="AC74" s="182">
        <f>D74/D$31</f>
        <v>0.18756220019169781</v>
      </c>
      <c r="AD74" s="182">
        <f>E74/E$31</f>
        <v>0.12799846958141156</v>
      </c>
      <c r="AE74" s="182">
        <f>F74/F$31</f>
        <v>0.1992375447831925</v>
      </c>
      <c r="AF74" s="182">
        <f>G74/G$31</f>
        <v>0.57650527699088039</v>
      </c>
      <c r="AG74" s="182">
        <f>H74/H$31</f>
        <v>0.19260956170428142</v>
      </c>
      <c r="AH74" s="182">
        <f>I74/I$31</f>
        <v>8.9379632152152763E-2</v>
      </c>
      <c r="AI74" s="182">
        <f>J74/J$31</f>
        <v>0.2832994502903371</v>
      </c>
    </row>
    <row r="75" spans="1:35" s="3" customFormat="1">
      <c r="A75" s="65"/>
      <c r="B75" s="112"/>
      <c r="C75" s="338"/>
      <c r="D75" s="180"/>
      <c r="E75" s="180"/>
      <c r="F75" s="339"/>
      <c r="G75" s="140"/>
      <c r="H75" s="140"/>
      <c r="I75" s="140"/>
      <c r="J75" s="309"/>
      <c r="K75" s="367"/>
      <c r="L75" s="140"/>
      <c r="M75" s="140"/>
      <c r="N75" s="341"/>
      <c r="O75" s="373"/>
      <c r="P75" s="181"/>
      <c r="Q75" s="374"/>
      <c r="R75"/>
      <c r="S75" s="387"/>
      <c r="T75" s="291"/>
      <c r="U75" s="388"/>
      <c r="V75" s="265"/>
      <c r="W75" s="173"/>
      <c r="X75" s="274"/>
      <c r="Y75" s="274"/>
      <c r="Z75" s="274"/>
      <c r="AA75" s="274"/>
      <c r="AB75" s="182"/>
      <c r="AC75" s="182"/>
      <c r="AD75" s="182"/>
      <c r="AE75" s="182"/>
      <c r="AF75" s="182"/>
      <c r="AG75" s="182"/>
      <c r="AH75" s="182"/>
      <c r="AI75" s="182"/>
    </row>
    <row r="76" spans="1:35">
      <c r="A76" s="65" t="s">
        <v>330</v>
      </c>
      <c r="B76" s="29"/>
      <c r="C76" s="336"/>
      <c r="D76" s="11"/>
      <c r="E76" s="11"/>
      <c r="F76" s="337"/>
      <c r="G76" s="138"/>
      <c r="H76" s="138"/>
      <c r="I76" s="138"/>
      <c r="J76" s="170"/>
      <c r="K76" s="366"/>
      <c r="L76" s="138"/>
      <c r="M76" s="138"/>
      <c r="N76" s="404"/>
      <c r="O76" s="371"/>
      <c r="P76" s="178"/>
      <c r="Q76" s="372"/>
      <c r="S76" s="385"/>
      <c r="T76" s="290"/>
      <c r="U76" s="386"/>
      <c r="V76" s="264"/>
      <c r="W76" s="126" t="s">
        <v>330</v>
      </c>
      <c r="X76" s="138"/>
      <c r="Y76" s="138"/>
      <c r="Z76" s="138"/>
      <c r="AA76" s="138"/>
      <c r="AB76" s="179"/>
      <c r="AC76" s="179"/>
      <c r="AD76" s="179"/>
      <c r="AE76" s="179"/>
      <c r="AF76" s="179"/>
      <c r="AG76" s="179"/>
      <c r="AH76" s="179"/>
      <c r="AI76" s="179"/>
    </row>
    <row r="77" spans="1:35">
      <c r="A77" s="15"/>
      <c r="B77" s="29" t="s">
        <v>331</v>
      </c>
      <c r="C77" s="336">
        <v>4637.3100000000004</v>
      </c>
      <c r="D77" s="11">
        <v>1501.79</v>
      </c>
      <c r="E77" s="11">
        <v>1991.32</v>
      </c>
      <c r="F77" s="337">
        <v>2017.32</v>
      </c>
      <c r="G77" s="138">
        <v>6049.87</v>
      </c>
      <c r="H77" s="138">
        <v>4411.07</v>
      </c>
      <c r="I77" s="138">
        <v>2227.62</v>
      </c>
      <c r="J77" s="170">
        <f>SUM(G77:I77)/9*2+AA77</f>
        <v>3912.9099999999994</v>
      </c>
      <c r="K77" s="366">
        <f>SUM(C77:F77)</f>
        <v>10147.74</v>
      </c>
      <c r="L77" s="138">
        <f>SUM(G77:J77)</f>
        <v>16601.469999999998</v>
      </c>
      <c r="M77" s="138">
        <v>12000</v>
      </c>
      <c r="N77" s="404"/>
      <c r="O77" s="371">
        <f>L77-K77</f>
        <v>6453.7299999999977</v>
      </c>
      <c r="P77" s="178">
        <f>L77-M77</f>
        <v>4601.4699999999975</v>
      </c>
      <c r="Q77" s="372">
        <f>L77-N77</f>
        <v>16601.469999999998</v>
      </c>
      <c r="S77" s="385">
        <f>K77/K$31</f>
        <v>1.2404205221318975E-2</v>
      </c>
      <c r="T77" s="290">
        <f>L77/L$31</f>
        <v>1.5487928084460992E-2</v>
      </c>
      <c r="U77" s="386">
        <f>N77/N$31</f>
        <v>0</v>
      </c>
      <c r="V77" s="264"/>
      <c r="W77" s="126" t="s">
        <v>331</v>
      </c>
      <c r="X77" s="138">
        <v>10147.74</v>
      </c>
      <c r="Y77" s="138">
        <v>13781.79</v>
      </c>
      <c r="Z77" s="138">
        <f>Y77-AA77</f>
        <v>12688.560000000001</v>
      </c>
      <c r="AA77" s="138">
        <v>1093.23</v>
      </c>
      <c r="AB77" s="179">
        <f>C77/C$31</f>
        <v>4.924360319296394E-2</v>
      </c>
      <c r="AC77" s="179">
        <f>D77/D$31</f>
        <v>7.6578675730797586E-3</v>
      </c>
      <c r="AD77" s="179">
        <f>E77/E$31</f>
        <v>5.9309379252403737E-3</v>
      </c>
      <c r="AE77" s="179">
        <f>F77/F$31</f>
        <v>1.0503818498231791E-2</v>
      </c>
      <c r="AF77" s="179">
        <f>G77/G$31</f>
        <v>7.455305407911321E-2</v>
      </c>
      <c r="AG77" s="179">
        <f>H77/H$31</f>
        <v>1.7975650328414118E-2</v>
      </c>
      <c r="AH77" s="179">
        <f>I77/I$31</f>
        <v>3.9918179576758916E-3</v>
      </c>
      <c r="AI77" s="179">
        <f>J77/J$31</f>
        <v>2.0889910362979214E-2</v>
      </c>
    </row>
    <row r="78" spans="1:35">
      <c r="A78" s="15"/>
      <c r="B78" s="29" t="s">
        <v>332</v>
      </c>
      <c r="C78" s="336">
        <v>255.3</v>
      </c>
      <c r="D78" s="11">
        <v>315</v>
      </c>
      <c r="E78" s="11">
        <v>141.24</v>
      </c>
      <c r="F78" s="337">
        <v>492.96</v>
      </c>
      <c r="G78" s="138">
        <v>455.49</v>
      </c>
      <c r="H78" s="138">
        <v>218.97</v>
      </c>
      <c r="I78" s="138">
        <v>265.87</v>
      </c>
      <c r="J78" s="170">
        <f>SUM(G78:I78)/9*2+AA78</f>
        <v>208.96222222222224</v>
      </c>
      <c r="K78" s="366">
        <f>SUM(C78:F78)</f>
        <v>1204.5</v>
      </c>
      <c r="L78" s="138">
        <f>SUM(G78:J78)</f>
        <v>1149.2922222222223</v>
      </c>
      <c r="M78" s="138"/>
      <c r="N78" s="404"/>
      <c r="O78" s="371">
        <f>L78-K78</f>
        <v>-55.207777777777665</v>
      </c>
      <c r="P78" s="178">
        <f>L78-M78</f>
        <v>1149.2922222222223</v>
      </c>
      <c r="Q78" s="372">
        <f>L78-N78</f>
        <v>1149.2922222222223</v>
      </c>
      <c r="S78" s="385">
        <f>K78/K$31</f>
        <v>1.4723342526590853E-3</v>
      </c>
      <c r="T78" s="290">
        <f>L78/L$31</f>
        <v>1.0722035630464136E-3</v>
      </c>
      <c r="U78" s="386">
        <f>N78/N$31</f>
        <v>0</v>
      </c>
      <c r="V78" s="264"/>
      <c r="W78" s="126" t="s">
        <v>332</v>
      </c>
      <c r="X78" s="138">
        <v>1204.5</v>
      </c>
      <c r="Y78" s="138">
        <v>940.33</v>
      </c>
      <c r="Z78" s="138">
        <f>Y78-AA78</f>
        <v>940.33</v>
      </c>
      <c r="AA78" s="138">
        <v>0</v>
      </c>
      <c r="AB78" s="179">
        <f>C78/C$31</f>
        <v>2.7110311571069638E-3</v>
      </c>
      <c r="AC78" s="179">
        <f>D78/D$31</f>
        <v>1.6062354160835564E-3</v>
      </c>
      <c r="AD78" s="179">
        <f>E78/E$31</f>
        <v>4.2066853773424186E-4</v>
      </c>
      <c r="AE78" s="179">
        <f>F78/F$31</f>
        <v>2.5667531015844502E-3</v>
      </c>
      <c r="AF78" s="179">
        <f>G78/G$31</f>
        <v>5.6130413715493512E-3</v>
      </c>
      <c r="AG78" s="179">
        <f>H78/H$31</f>
        <v>8.9232956004163142E-4</v>
      </c>
      <c r="AH78" s="179">
        <f>I78/I$31</f>
        <v>4.7642984010167329E-4</v>
      </c>
      <c r="AI78" s="179">
        <f>J78/J$31</f>
        <v>1.1155896996023844E-3</v>
      </c>
    </row>
    <row r="79" spans="1:35">
      <c r="A79" s="15"/>
      <c r="B79" s="29" t="s">
        <v>333</v>
      </c>
      <c r="C79" s="336">
        <v>3929.65</v>
      </c>
      <c r="D79" s="11">
        <v>752.18</v>
      </c>
      <c r="E79" s="11">
        <v>0</v>
      </c>
      <c r="F79" s="337">
        <v>746.2</v>
      </c>
      <c r="G79" s="138">
        <v>3590.24</v>
      </c>
      <c r="H79" s="138">
        <v>171.24</v>
      </c>
      <c r="I79" s="138">
        <v>177.6</v>
      </c>
      <c r="J79" s="170">
        <f>SUM(G79:I79)/9*2+AA79</f>
        <v>1057.951111111111</v>
      </c>
      <c r="K79" s="366">
        <f>SUM(C79:F79)</f>
        <v>5428.03</v>
      </c>
      <c r="L79" s="138">
        <f>SUM(G79:J79)</f>
        <v>4997.0311111111105</v>
      </c>
      <c r="M79" s="138"/>
      <c r="N79" s="404"/>
      <c r="O79" s="371">
        <f>L79-K79</f>
        <v>-430.99888888888927</v>
      </c>
      <c r="P79" s="178">
        <f>L79-M79</f>
        <v>4997.0311111111105</v>
      </c>
      <c r="Q79" s="372">
        <f>L79-N79</f>
        <v>4997.0311111111105</v>
      </c>
      <c r="S79" s="385">
        <f>K79/K$31</f>
        <v>6.6350141083114109E-3</v>
      </c>
      <c r="T79" s="290">
        <f>L79/L$31</f>
        <v>4.6618557564301897E-3</v>
      </c>
      <c r="U79" s="386">
        <f>N79/N$31</f>
        <v>0</v>
      </c>
      <c r="V79" s="264"/>
      <c r="W79" s="126" t="s">
        <v>333</v>
      </c>
      <c r="X79" s="138">
        <v>5428.03</v>
      </c>
      <c r="Y79" s="138">
        <v>4121.68</v>
      </c>
      <c r="Z79" s="138">
        <f>Y79-AA79</f>
        <v>3939.0800000000004</v>
      </c>
      <c r="AA79" s="138">
        <v>182.6</v>
      </c>
      <c r="AB79" s="179">
        <f>C79/C$31</f>
        <v>4.1728960385920014E-2</v>
      </c>
      <c r="AC79" s="179">
        <f>D79/D$31</f>
        <v>3.8354862072054901E-3</v>
      </c>
      <c r="AD79" s="179">
        <f>E79/E$31</f>
        <v>0</v>
      </c>
      <c r="AE79" s="179">
        <f>F79/F$31</f>
        <v>3.8853277434321588E-3</v>
      </c>
      <c r="AF79" s="179">
        <f>G79/G$31</f>
        <v>4.4242827842085101E-2</v>
      </c>
      <c r="AG79" s="179">
        <f>H79/H$31</f>
        <v>6.9782396612106214E-4</v>
      </c>
      <c r="AH79" s="179">
        <f>I79/I$31</f>
        <v>3.182530545080572E-4</v>
      </c>
      <c r="AI79" s="179">
        <f>J79/J$31</f>
        <v>5.648099209929534E-3</v>
      </c>
    </row>
    <row r="80" spans="1:35">
      <c r="A80" s="15"/>
      <c r="B80" s="29" t="s">
        <v>334</v>
      </c>
      <c r="C80" s="336">
        <v>200</v>
      </c>
      <c r="D80" s="11">
        <v>0</v>
      </c>
      <c r="E80" s="11">
        <v>11599.92</v>
      </c>
      <c r="F80" s="337">
        <v>364</v>
      </c>
      <c r="G80" s="138">
        <v>3500</v>
      </c>
      <c r="H80" s="138">
        <v>0</v>
      </c>
      <c r="I80" s="138">
        <v>29142.83</v>
      </c>
      <c r="J80" s="170">
        <f>SUM(G80:I80)/9*2+AA80</f>
        <v>7253.9622222222224</v>
      </c>
      <c r="K80" s="366">
        <f>SUM(C80:F80)</f>
        <v>12163.92</v>
      </c>
      <c r="L80" s="138">
        <f>SUM(G80:J80)</f>
        <v>39896.792222222226</v>
      </c>
      <c r="M80" s="138">
        <v>15000</v>
      </c>
      <c r="N80" s="404"/>
      <c r="O80" s="371">
        <f>L80-K80</f>
        <v>27732.872222222228</v>
      </c>
      <c r="P80" s="178">
        <f>L80-M80</f>
        <v>24896.792222222226</v>
      </c>
      <c r="Q80" s="372">
        <f>L80-N80</f>
        <v>39896.792222222226</v>
      </c>
      <c r="S80" s="385">
        <f>K80/K$31</f>
        <v>1.4868705738982899E-2</v>
      </c>
      <c r="T80" s="290">
        <f>L80/L$31</f>
        <v>3.7220718932628294E-2</v>
      </c>
      <c r="U80" s="386">
        <f>N80/N$31</f>
        <v>0</v>
      </c>
      <c r="V80" s="264"/>
      <c r="W80" s="126" t="s">
        <v>334</v>
      </c>
      <c r="X80" s="138">
        <v>12163.92</v>
      </c>
      <c r="Y80" s="138">
        <v>32642.83</v>
      </c>
      <c r="Z80" s="138">
        <f>Y80-AA80</f>
        <v>32642.83</v>
      </c>
      <c r="AA80" s="138">
        <v>0</v>
      </c>
      <c r="AB80" s="179">
        <f>C80/C$31</f>
        <v>2.1238003580939784E-3</v>
      </c>
      <c r="AC80" s="179">
        <f>D80/D$31</f>
        <v>0</v>
      </c>
      <c r="AD80" s="179">
        <f>E80/E$31</f>
        <v>3.4549146022615308E-2</v>
      </c>
      <c r="AE80" s="179">
        <f>F80/F$31</f>
        <v>1.8952818260644677E-3</v>
      </c>
      <c r="AF80" s="179">
        <f>G80/G$31</f>
        <v>4.3130792773546575E-2</v>
      </c>
      <c r="AG80" s="179">
        <f>H80/H$31</f>
        <v>0</v>
      </c>
      <c r="AH80" s="179">
        <f>I80/I$31</f>
        <v>5.2222942930794172E-2</v>
      </c>
      <c r="AI80" s="179">
        <f>J80/J$31</f>
        <v>3.8726835168368237E-2</v>
      </c>
    </row>
    <row r="81" spans="1:35">
      <c r="A81" s="15"/>
      <c r="B81" s="29" t="s">
        <v>426</v>
      </c>
      <c r="C81" s="336">
        <v>0</v>
      </c>
      <c r="D81" s="11">
        <v>0</v>
      </c>
      <c r="E81" s="11">
        <v>0</v>
      </c>
      <c r="F81" s="337">
        <v>54.44</v>
      </c>
      <c r="G81" s="138">
        <v>0</v>
      </c>
      <c r="H81" s="138">
        <v>0</v>
      </c>
      <c r="I81" s="138">
        <v>0</v>
      </c>
      <c r="J81" s="170">
        <f>SUM(G81:I81)/9*2+AA81</f>
        <v>500</v>
      </c>
      <c r="K81" s="366">
        <f>SUM(C81:F81)</f>
        <v>54.44</v>
      </c>
      <c r="L81" s="138">
        <f>SUM(G81:J81)</f>
        <v>500</v>
      </c>
      <c r="M81" s="138"/>
      <c r="N81" s="404"/>
      <c r="O81" s="371">
        <f>L81-K81</f>
        <v>445.56</v>
      </c>
      <c r="P81" s="178">
        <f>L81-M81</f>
        <v>500</v>
      </c>
      <c r="Q81" s="372">
        <f>L81-N81</f>
        <v>500</v>
      </c>
      <c r="S81" s="385">
        <f>K81/K$31</f>
        <v>6.6545352191582071E-5</v>
      </c>
      <c r="T81" s="290">
        <f>L81/L$31</f>
        <v>4.6646255073981384E-4</v>
      </c>
      <c r="U81" s="386">
        <f>N81/N$31</f>
        <v>0</v>
      </c>
      <c r="V81" s="264"/>
      <c r="W81" s="126" t="s">
        <v>426</v>
      </c>
      <c r="X81" s="138">
        <v>54.44</v>
      </c>
      <c r="Y81" s="138">
        <v>500</v>
      </c>
      <c r="Z81" s="138">
        <f>Y81-AA81</f>
        <v>0</v>
      </c>
      <c r="AA81" s="138">
        <v>500</v>
      </c>
      <c r="AB81" s="179">
        <f>C81/C$31</f>
        <v>0</v>
      </c>
      <c r="AC81" s="179">
        <f>D81/D$31</f>
        <v>0</v>
      </c>
      <c r="AD81" s="179">
        <f>E81/E$31</f>
        <v>0</v>
      </c>
      <c r="AE81" s="179">
        <f>F81/F$31</f>
        <v>2.8345918299711433E-4</v>
      </c>
      <c r="AF81" s="179">
        <f>G81/G$31</f>
        <v>0</v>
      </c>
      <c r="AG81" s="179">
        <f>H81/H$31</f>
        <v>0</v>
      </c>
      <c r="AH81" s="179">
        <f>I81/I$31</f>
        <v>0</v>
      </c>
      <c r="AI81" s="179">
        <f>J81/J$31</f>
        <v>2.6693573789046024E-3</v>
      </c>
    </row>
    <row r="82" spans="1:35" s="3" customFormat="1">
      <c r="A82" s="65" t="s">
        <v>335</v>
      </c>
      <c r="B82" s="112"/>
      <c r="C82" s="338">
        <f>SUM(C77:C81)</f>
        <v>9022.26</v>
      </c>
      <c r="D82" s="180">
        <f t="shared" ref="D82:F82" si="85">SUM(D77:D81)</f>
        <v>2568.9699999999998</v>
      </c>
      <c r="E82" s="180">
        <f t="shared" si="85"/>
        <v>13732.48</v>
      </c>
      <c r="F82" s="339">
        <f t="shared" si="85"/>
        <v>3674.9199999999996</v>
      </c>
      <c r="G82" s="180">
        <f t="shared" ref="G82" si="86">SUM(G77:G81)</f>
        <v>13595.599999999999</v>
      </c>
      <c r="H82" s="180">
        <f t="shared" ref="H82" si="87">SUM(H77:H81)</f>
        <v>4801.28</v>
      </c>
      <c r="I82" s="180">
        <f t="shared" ref="I82" si="88">SUM(I77:I81)</f>
        <v>31813.920000000002</v>
      </c>
      <c r="J82" s="309">
        <f t="shared" ref="J82" si="89">SUM(J77:J81)</f>
        <v>12933.785555555554</v>
      </c>
      <c r="K82" s="338">
        <f t="shared" ref="K82" si="90">SUM(K77:K81)</f>
        <v>28998.63</v>
      </c>
      <c r="L82" s="140">
        <f t="shared" ref="L82" si="91">SUM(L77:L81)</f>
        <v>63144.585555555561</v>
      </c>
      <c r="M82" s="140">
        <f t="shared" ref="M82" si="92">SUM(M77:M81)</f>
        <v>27000</v>
      </c>
      <c r="N82" s="341">
        <f t="shared" ref="N82" si="93">SUM(N77:N81)</f>
        <v>0</v>
      </c>
      <c r="O82" s="338">
        <f t="shared" ref="O82" si="94">SUM(O77:O81)</f>
        <v>34145.955555555556</v>
      </c>
      <c r="P82" s="180">
        <f t="shared" ref="P82" si="95">SUM(P77:P81)</f>
        <v>36144.585555555561</v>
      </c>
      <c r="Q82" s="339">
        <f t="shared" ref="Q82" si="96">SUM(Q77:Q81)</f>
        <v>63144.585555555561</v>
      </c>
      <c r="R82"/>
      <c r="S82" s="387">
        <f>K82/K$31</f>
        <v>3.544680467346395E-2</v>
      </c>
      <c r="T82" s="291">
        <f>L82/L$31</f>
        <v>5.8909168887305706E-2</v>
      </c>
      <c r="U82" s="388">
        <f>N82/N$31</f>
        <v>0</v>
      </c>
      <c r="V82" s="265"/>
      <c r="W82" s="173" t="s">
        <v>335</v>
      </c>
      <c r="X82" s="140">
        <f t="shared" ref="X82" si="97">SUM(X77:X81)</f>
        <v>28998.63</v>
      </c>
      <c r="Y82" s="140">
        <f t="shared" ref="Y82" si="98">SUM(Y77:Y81)</f>
        <v>51986.630000000005</v>
      </c>
      <c r="Z82" s="140">
        <f t="shared" ref="Z82" si="99">SUM(Z77:Z81)</f>
        <v>50210.8</v>
      </c>
      <c r="AA82" s="140">
        <f t="shared" ref="AA82" si="100">SUM(AA77:AA81)</f>
        <v>1775.83</v>
      </c>
      <c r="AB82" s="182">
        <f>C82/C$31</f>
        <v>9.5807395094084896E-2</v>
      </c>
      <c r="AC82" s="182">
        <f>D82/D$31</f>
        <v>1.3099589196368805E-2</v>
      </c>
      <c r="AD82" s="182">
        <f>E82/E$31</f>
        <v>4.0900752485589921E-2</v>
      </c>
      <c r="AE82" s="182">
        <f>F82/F$31</f>
        <v>1.9134640352309981E-2</v>
      </c>
      <c r="AF82" s="182">
        <f>G82/G$31</f>
        <v>0.16753971606629423</v>
      </c>
      <c r="AG82" s="182">
        <f>H82/H$31</f>
        <v>1.9565803854576812E-2</v>
      </c>
      <c r="AH82" s="182">
        <f>I82/I$31</f>
        <v>5.7009443783079795E-2</v>
      </c>
      <c r="AI82" s="182">
        <f>J82/J$31</f>
        <v>6.9049791819783962E-2</v>
      </c>
    </row>
    <row r="83" spans="1:35" s="3" customFormat="1">
      <c r="A83" s="65"/>
      <c r="B83" s="112"/>
      <c r="C83" s="338"/>
      <c r="D83" s="180"/>
      <c r="E83" s="180"/>
      <c r="F83" s="339"/>
      <c r="G83" s="140"/>
      <c r="H83" s="140"/>
      <c r="I83" s="140"/>
      <c r="J83" s="309"/>
      <c r="K83" s="367"/>
      <c r="L83" s="140"/>
      <c r="M83" s="140"/>
      <c r="N83" s="341"/>
      <c r="O83" s="373"/>
      <c r="P83" s="181"/>
      <c r="Q83" s="374"/>
      <c r="R83"/>
      <c r="S83" s="387"/>
      <c r="T83" s="291"/>
      <c r="U83" s="388"/>
      <c r="V83" s="265"/>
      <c r="W83" s="173"/>
      <c r="X83" s="274"/>
      <c r="Y83" s="274"/>
      <c r="Z83" s="274"/>
      <c r="AA83" s="274"/>
      <c r="AB83" s="182"/>
      <c r="AC83" s="182"/>
      <c r="AD83" s="182"/>
      <c r="AE83" s="182"/>
      <c r="AF83" s="182"/>
      <c r="AG83" s="182"/>
      <c r="AH83" s="182"/>
      <c r="AI83" s="182"/>
    </row>
    <row r="84" spans="1:35" s="3" customFormat="1">
      <c r="A84" s="65" t="s">
        <v>336</v>
      </c>
      <c r="B84" s="112"/>
      <c r="C84" s="338"/>
      <c r="D84" s="180"/>
      <c r="E84" s="180"/>
      <c r="F84" s="339"/>
      <c r="G84" s="140"/>
      <c r="H84" s="140"/>
      <c r="I84" s="140"/>
      <c r="J84" s="309"/>
      <c r="K84" s="367"/>
      <c r="L84" s="140"/>
      <c r="M84" s="140"/>
      <c r="N84" s="341"/>
      <c r="O84" s="373"/>
      <c r="P84" s="181"/>
      <c r="Q84" s="374"/>
      <c r="R84"/>
      <c r="S84" s="387"/>
      <c r="T84" s="291"/>
      <c r="U84" s="388"/>
      <c r="V84" s="265"/>
      <c r="W84" s="126" t="s">
        <v>336</v>
      </c>
      <c r="X84" s="138"/>
      <c r="Y84" s="138"/>
      <c r="Z84" s="138"/>
      <c r="AA84" s="138"/>
      <c r="AB84" s="182"/>
      <c r="AC84" s="182"/>
      <c r="AD84" s="182"/>
      <c r="AE84" s="182"/>
      <c r="AF84" s="182"/>
      <c r="AG84" s="182"/>
      <c r="AH84" s="182"/>
      <c r="AI84" s="182"/>
    </row>
    <row r="85" spans="1:35">
      <c r="A85" s="15"/>
      <c r="B85" s="29" t="s">
        <v>337</v>
      </c>
      <c r="C85" s="336">
        <v>507.6</v>
      </c>
      <c r="D85" s="11">
        <v>2887</v>
      </c>
      <c r="E85" s="11">
        <v>458.5</v>
      </c>
      <c r="F85" s="337">
        <v>590</v>
      </c>
      <c r="G85" s="138">
        <v>0</v>
      </c>
      <c r="H85" s="138">
        <v>531</v>
      </c>
      <c r="I85" s="138">
        <v>254.12</v>
      </c>
      <c r="J85" s="170">
        <f>SUM(G85:I85)/9*2+AA85</f>
        <v>174.4711111111111</v>
      </c>
      <c r="K85" s="366">
        <f>SUM(C85:F85)</f>
        <v>4443.1000000000004</v>
      </c>
      <c r="L85" s="138">
        <f>SUM(G85:J85)</f>
        <v>959.5911111111111</v>
      </c>
      <c r="M85" s="138"/>
      <c r="N85" s="404"/>
      <c r="O85" s="371">
        <f>L85-K85</f>
        <v>-3483.5088888888895</v>
      </c>
      <c r="P85" s="178">
        <f>L85-M85</f>
        <v>959.5911111111111</v>
      </c>
      <c r="Q85" s="372">
        <f>L85-N85</f>
        <v>959.5911111111111</v>
      </c>
      <c r="S85" s="385">
        <f>K85/K$31</f>
        <v>5.4310737384720481E-3</v>
      </c>
      <c r="T85" s="290">
        <f>L85/L$31</f>
        <v>8.9522663471228202E-4</v>
      </c>
      <c r="U85" s="386">
        <f>N85/N$31</f>
        <v>0</v>
      </c>
      <c r="V85" s="264"/>
      <c r="W85" s="126" t="s">
        <v>337</v>
      </c>
      <c r="X85" s="138">
        <v>4443.1000000000004</v>
      </c>
      <c r="Y85" s="138">
        <v>785.12</v>
      </c>
      <c r="Z85" s="138">
        <f t="shared" ref="Z85:Z90" si="101">Y85-AA85</f>
        <v>785.12</v>
      </c>
      <c r="AA85" s="138">
        <v>0</v>
      </c>
      <c r="AB85" s="179">
        <f>C85/C$31</f>
        <v>5.3902053088425179E-3</v>
      </c>
      <c r="AC85" s="179">
        <f>D85/D$31</f>
        <v>1.472127506740707E-2</v>
      </c>
      <c r="AD85" s="179">
        <f>E85/E$31</f>
        <v>1.3655941981814633E-3</v>
      </c>
      <c r="AE85" s="179">
        <f>F85/F$31</f>
        <v>3.0720227400495492E-3</v>
      </c>
      <c r="AF85" s="179">
        <f>G85/G$31</f>
        <v>0</v>
      </c>
      <c r="AG85" s="179">
        <f>H85/H$31</f>
        <v>2.1638900140754729E-3</v>
      </c>
      <c r="AH85" s="179">
        <f>I85/I$31</f>
        <v>4.5537424668686655E-4</v>
      </c>
      <c r="AI85" s="179">
        <f>J85/J$31</f>
        <v>9.3145149570025843E-4</v>
      </c>
    </row>
    <row r="86" spans="1:35">
      <c r="A86" s="15"/>
      <c r="B86" s="29" t="s">
        <v>338</v>
      </c>
      <c r="C86" s="336">
        <v>460.22</v>
      </c>
      <c r="D86" s="11">
        <v>570</v>
      </c>
      <c r="E86" s="11">
        <v>42.5</v>
      </c>
      <c r="F86" s="337">
        <v>88</v>
      </c>
      <c r="G86" s="138">
        <v>0</v>
      </c>
      <c r="H86" s="138">
        <v>0</v>
      </c>
      <c r="I86" s="138">
        <v>0</v>
      </c>
      <c r="J86" s="170">
        <f>SUM(G86:I86)/9*2+AA86</f>
        <v>0</v>
      </c>
      <c r="K86" s="366">
        <f>SUM(C86:F86)</f>
        <v>1160.72</v>
      </c>
      <c r="L86" s="138">
        <f>SUM(G86:J86)</f>
        <v>0</v>
      </c>
      <c r="M86" s="138">
        <v>1200</v>
      </c>
      <c r="N86" s="404"/>
      <c r="O86" s="371">
        <f>L86-K86</f>
        <v>-1160.72</v>
      </c>
      <c r="P86" s="178">
        <f>L86-M86</f>
        <v>-1200</v>
      </c>
      <c r="Q86" s="372">
        <f>L86-N86</f>
        <v>0</v>
      </c>
      <c r="S86" s="385">
        <f>K86/K$31</f>
        <v>1.4188192725167732E-3</v>
      </c>
      <c r="T86" s="290">
        <f>L86/L$31</f>
        <v>0</v>
      </c>
      <c r="U86" s="386">
        <f>N86/N$31</f>
        <v>0</v>
      </c>
      <c r="V86" s="264"/>
      <c r="W86" s="126" t="s">
        <v>338</v>
      </c>
      <c r="X86" s="138">
        <v>1160.72</v>
      </c>
      <c r="Y86" s="138">
        <v>0</v>
      </c>
      <c r="Z86" s="138">
        <f t="shared" si="101"/>
        <v>0</v>
      </c>
      <c r="AA86" s="138">
        <v>0</v>
      </c>
      <c r="AB86" s="179">
        <f>C86/C$31</f>
        <v>4.8870770040100537E-3</v>
      </c>
      <c r="AC86" s="179">
        <f>D86/D$31</f>
        <v>2.9065212291035781E-3</v>
      </c>
      <c r="AD86" s="179">
        <f>E86/E$31</f>
        <v>1.2658179590558819E-4</v>
      </c>
      <c r="AE86" s="179">
        <f>F86/F$31</f>
        <v>4.5820000190569546E-4</v>
      </c>
      <c r="AF86" s="179">
        <f>G86/G$31</f>
        <v>0</v>
      </c>
      <c r="AG86" s="179">
        <f>H86/H$31</f>
        <v>0</v>
      </c>
      <c r="AH86" s="179">
        <f>I86/I$31</f>
        <v>0</v>
      </c>
      <c r="AI86" s="179">
        <f>J86/J$31</f>
        <v>0</v>
      </c>
    </row>
    <row r="87" spans="1:35">
      <c r="A87" s="15"/>
      <c r="B87" s="29" t="s">
        <v>339</v>
      </c>
      <c r="C87" s="336">
        <v>62.04</v>
      </c>
      <c r="D87" s="11">
        <v>78.209999999999994</v>
      </c>
      <c r="E87" s="11">
        <v>0</v>
      </c>
      <c r="F87" s="337">
        <v>136.83000000000001</v>
      </c>
      <c r="G87" s="138">
        <v>26.55</v>
      </c>
      <c r="H87" s="138">
        <v>0</v>
      </c>
      <c r="I87" s="138">
        <v>1027.98</v>
      </c>
      <c r="J87" s="170">
        <f>SUM(G87:I87)/9*2+AA87</f>
        <v>234.34</v>
      </c>
      <c r="K87" s="366">
        <f>SUM(C87:F87)</f>
        <v>277.08000000000004</v>
      </c>
      <c r="L87" s="138">
        <f>SUM(G87:J87)</f>
        <v>1288.8699999999999</v>
      </c>
      <c r="M87" s="138"/>
      <c r="N87" s="404"/>
      <c r="O87" s="371">
        <f>L87-K87</f>
        <v>1011.7899999999998</v>
      </c>
      <c r="P87" s="178">
        <f>L87-M87</f>
        <v>1288.8699999999999</v>
      </c>
      <c r="Q87" s="372">
        <f>L87-N87</f>
        <v>1288.8699999999999</v>
      </c>
      <c r="S87" s="385">
        <f>K87/K$31</f>
        <v>3.3869188437258565E-4</v>
      </c>
      <c r="T87" s="290">
        <f>L87/L$31</f>
        <v>1.2024191755440475E-3</v>
      </c>
      <c r="U87" s="386">
        <f>N87/N$31</f>
        <v>0</v>
      </c>
      <c r="V87" s="264"/>
      <c r="W87" s="126" t="s">
        <v>339</v>
      </c>
      <c r="X87" s="138">
        <v>277.08</v>
      </c>
      <c r="Y87" s="138">
        <v>1054.53</v>
      </c>
      <c r="Z87" s="138">
        <f t="shared" si="101"/>
        <v>1054.53</v>
      </c>
      <c r="AA87" s="138">
        <v>0</v>
      </c>
      <c r="AB87" s="179">
        <f>C87/C$31</f>
        <v>6.5880287108075212E-4</v>
      </c>
      <c r="AC87" s="179">
        <f>D87/D$31</f>
        <v>3.9880530759331726E-4</v>
      </c>
      <c r="AD87" s="179">
        <f>E87/E$31</f>
        <v>0</v>
      </c>
      <c r="AE87" s="179">
        <f>F87/F$31</f>
        <v>7.1244893478132176E-4</v>
      </c>
      <c r="AF87" s="179">
        <f>G87/G$31</f>
        <v>3.2717787089647473E-4</v>
      </c>
      <c r="AG87" s="179">
        <f>H87/H$31</f>
        <v>0</v>
      </c>
      <c r="AH87" s="179">
        <f>I87/I$31</f>
        <v>1.8421045888130218E-3</v>
      </c>
      <c r="AI87" s="179">
        <f>J87/J$31</f>
        <v>1.2510744163450091E-3</v>
      </c>
    </row>
    <row r="88" spans="1:35">
      <c r="A88" s="15"/>
      <c r="B88" s="29" t="s">
        <v>340</v>
      </c>
      <c r="C88" s="336">
        <v>991.1</v>
      </c>
      <c r="D88" s="11">
        <v>1149.18</v>
      </c>
      <c r="E88" s="11">
        <v>845.47</v>
      </c>
      <c r="F88" s="337">
        <v>1391.94</v>
      </c>
      <c r="G88" s="138">
        <v>1505.94</v>
      </c>
      <c r="H88" s="138">
        <v>1003.96</v>
      </c>
      <c r="I88" s="138">
        <v>902.59</v>
      </c>
      <c r="J88" s="170">
        <f>SUM(G88:I88)/9*2+AA88</f>
        <v>1131.1211111111111</v>
      </c>
      <c r="K88" s="366">
        <f>SUM(C88:F88)</f>
        <v>4377.6900000000005</v>
      </c>
      <c r="L88" s="138">
        <f>SUM(G88:J88)</f>
        <v>4543.6111111111113</v>
      </c>
      <c r="M88" s="138"/>
      <c r="N88" s="404"/>
      <c r="O88" s="371">
        <f>L88-K88</f>
        <v>165.9211111111108</v>
      </c>
      <c r="P88" s="178">
        <f>L88-M88</f>
        <v>4543.6111111111113</v>
      </c>
      <c r="Q88" s="372">
        <f>L88-N88</f>
        <v>4543.6111111111113</v>
      </c>
      <c r="S88" s="385">
        <f>K88/K$31</f>
        <v>5.3511190822110016E-3</v>
      </c>
      <c r="T88" s="290">
        <f>L88/L$31</f>
        <v>4.2388488569172975E-3</v>
      </c>
      <c r="U88" s="386">
        <f>N88/N$31</f>
        <v>0</v>
      </c>
      <c r="V88" s="264"/>
      <c r="W88" s="126" t="s">
        <v>340</v>
      </c>
      <c r="X88" s="138">
        <v>4377.6899999999996</v>
      </c>
      <c r="Y88" s="138">
        <v>3785.28</v>
      </c>
      <c r="Z88" s="138">
        <f t="shared" si="101"/>
        <v>3412.4900000000002</v>
      </c>
      <c r="AA88" s="138">
        <v>372.79</v>
      </c>
      <c r="AB88" s="179">
        <f>C88/C$31</f>
        <v>1.0524492674534711E-2</v>
      </c>
      <c r="AC88" s="179">
        <f>D88/D$31</f>
        <v>5.8598527474758777E-3</v>
      </c>
      <c r="AD88" s="179">
        <f>E88/E$31</f>
        <v>2.5181437878658273E-3</v>
      </c>
      <c r="AE88" s="179">
        <f>F88/F$31</f>
        <v>7.2475785301433383E-3</v>
      </c>
      <c r="AF88" s="179">
        <f>G88/G$31</f>
        <v>1.8557824591255639E-2</v>
      </c>
      <c r="AG88" s="179">
        <f>H88/H$31</f>
        <v>4.0912599219043539E-3</v>
      </c>
      <c r="AH88" s="179">
        <f>I88/I$31</f>
        <v>1.6174100476825865E-3</v>
      </c>
      <c r="AI88" s="179">
        <f>J88/J$31</f>
        <v>6.0387329687584344E-3</v>
      </c>
    </row>
    <row r="89" spans="1:35">
      <c r="A89" s="15"/>
      <c r="B89" s="29" t="s">
        <v>341</v>
      </c>
      <c r="C89" s="336">
        <v>300</v>
      </c>
      <c r="D89" s="11">
        <v>0</v>
      </c>
      <c r="E89" s="11">
        <v>1490</v>
      </c>
      <c r="F89" s="337">
        <v>0</v>
      </c>
      <c r="G89" s="138">
        <v>0</v>
      </c>
      <c r="H89" s="138">
        <v>0</v>
      </c>
      <c r="I89" s="138">
        <v>0</v>
      </c>
      <c r="J89" s="170">
        <f>SUM(G89:I89)/9*2+AA89</f>
        <v>0</v>
      </c>
      <c r="K89" s="366">
        <f>SUM(C89:F89)</f>
        <v>1790</v>
      </c>
      <c r="L89" s="138">
        <f>SUM(G89:J89)</f>
        <v>0</v>
      </c>
      <c r="M89" s="138"/>
      <c r="N89" s="404"/>
      <c r="O89" s="371">
        <f>L89-K89</f>
        <v>-1790</v>
      </c>
      <c r="P89" s="178">
        <f>L89-M89</f>
        <v>0</v>
      </c>
      <c r="Q89" s="372">
        <f>L89-N89</f>
        <v>0</v>
      </c>
      <c r="S89" s="385">
        <f>K89/K$31</f>
        <v>2.1880268262845686E-3</v>
      </c>
      <c r="T89" s="290">
        <f>L89/L$31</f>
        <v>0</v>
      </c>
      <c r="U89" s="386">
        <f>N89/N$31</f>
        <v>0</v>
      </c>
      <c r="V89" s="264"/>
      <c r="W89" s="126" t="s">
        <v>341</v>
      </c>
      <c r="X89" s="138">
        <v>1790</v>
      </c>
      <c r="Y89" s="138">
        <v>0</v>
      </c>
      <c r="Z89" s="138">
        <f t="shared" si="101"/>
        <v>0</v>
      </c>
      <c r="AA89" s="138">
        <v>0</v>
      </c>
      <c r="AB89" s="179">
        <f>C89/C$31</f>
        <v>3.1857005371409676E-3</v>
      </c>
      <c r="AC89" s="179">
        <f>D89/D$31</f>
        <v>0</v>
      </c>
      <c r="AD89" s="179">
        <f>E89/E$31</f>
        <v>4.4378088446900329E-3</v>
      </c>
      <c r="AE89" s="179">
        <f>F89/F$31</f>
        <v>0</v>
      </c>
      <c r="AF89" s="179">
        <f>G89/G$31</f>
        <v>0</v>
      </c>
      <c r="AG89" s="179">
        <f>H89/H$31</f>
        <v>0</v>
      </c>
      <c r="AH89" s="179">
        <f>I89/I$31</f>
        <v>0</v>
      </c>
      <c r="AI89" s="179">
        <f>J89/J$31</f>
        <v>0</v>
      </c>
    </row>
    <row r="90" spans="1:35">
      <c r="A90" s="15"/>
      <c r="B90" s="29" t="s">
        <v>342</v>
      </c>
      <c r="C90" s="336">
        <v>1307.9000000000001</v>
      </c>
      <c r="D90" s="11">
        <v>1310.29</v>
      </c>
      <c r="E90" s="11">
        <v>750</v>
      </c>
      <c r="F90" s="337">
        <v>0</v>
      </c>
      <c r="G90" s="138">
        <v>0</v>
      </c>
      <c r="H90" s="138">
        <v>0</v>
      </c>
      <c r="I90" s="138">
        <v>0</v>
      </c>
      <c r="J90" s="170">
        <f>SUM(G90:I90)/9*2+AA90</f>
        <v>0</v>
      </c>
      <c r="K90" s="366">
        <f>SUM(C90:F90)</f>
        <v>3368.19</v>
      </c>
      <c r="L90" s="138">
        <f>SUM(G90:J90)</f>
        <v>0</v>
      </c>
      <c r="M90" s="138"/>
      <c r="N90" s="404"/>
      <c r="O90" s="371">
        <f>L90-K90</f>
        <v>-3368.19</v>
      </c>
      <c r="P90" s="178">
        <f>L90-M90</f>
        <v>0</v>
      </c>
      <c r="Q90" s="372">
        <f>L90-N90</f>
        <v>0</v>
      </c>
      <c r="S90" s="385">
        <f>K90/K$31</f>
        <v>4.1171452938678329E-3</v>
      </c>
      <c r="T90" s="290">
        <f>L90/L$31</f>
        <v>0</v>
      </c>
      <c r="U90" s="386">
        <f>N90/N$31</f>
        <v>0</v>
      </c>
      <c r="V90" s="264"/>
      <c r="W90" s="126" t="s">
        <v>342</v>
      </c>
      <c r="X90" s="138">
        <v>3368.19</v>
      </c>
      <c r="Y90" s="138">
        <v>0</v>
      </c>
      <c r="Z90" s="138">
        <f t="shared" si="101"/>
        <v>0</v>
      </c>
      <c r="AA90" s="138">
        <v>0</v>
      </c>
      <c r="AB90" s="179">
        <f>C90/C$31</f>
        <v>1.3888592441755573E-2</v>
      </c>
      <c r="AC90" s="179">
        <f>D90/D$31</f>
        <v>6.6813784233019776E-3</v>
      </c>
      <c r="AD90" s="179">
        <f>E90/E$31</f>
        <v>2.2337963983339094E-3</v>
      </c>
      <c r="AE90" s="179">
        <f>F90/F$31</f>
        <v>0</v>
      </c>
      <c r="AF90" s="179">
        <f>G90/G$31</f>
        <v>0</v>
      </c>
      <c r="AG90" s="179">
        <f>H90/H$31</f>
        <v>0</v>
      </c>
      <c r="AH90" s="179">
        <f>I90/I$31</f>
        <v>0</v>
      </c>
      <c r="AI90" s="179">
        <f>J90/J$31</f>
        <v>0</v>
      </c>
    </row>
    <row r="91" spans="1:35" s="3" customFormat="1">
      <c r="A91" s="65" t="s">
        <v>343</v>
      </c>
      <c r="B91" s="112"/>
      <c r="C91" s="338">
        <f>SUM(C85:C90)</f>
        <v>3628.86</v>
      </c>
      <c r="D91" s="180">
        <f t="shared" ref="D91:F91" si="102">SUM(D85:D90)</f>
        <v>5994.68</v>
      </c>
      <c r="E91" s="180">
        <f t="shared" si="102"/>
        <v>3586.4700000000003</v>
      </c>
      <c r="F91" s="339">
        <f t="shared" si="102"/>
        <v>2206.77</v>
      </c>
      <c r="G91" s="180">
        <f>SUM(G85:G90)</f>
        <v>1532.49</v>
      </c>
      <c r="H91" s="180">
        <f t="shared" ref="H91" si="103">SUM(H85:H90)</f>
        <v>1534.96</v>
      </c>
      <c r="I91" s="180">
        <f t="shared" ref="I91" si="104">SUM(I85:I90)</f>
        <v>2184.69</v>
      </c>
      <c r="J91" s="309">
        <f t="shared" ref="J91" si="105">SUM(J85:J90)</f>
        <v>1539.9322222222222</v>
      </c>
      <c r="K91" s="338">
        <f>SUM(K85:K90)</f>
        <v>15416.78</v>
      </c>
      <c r="L91" s="140">
        <f t="shared" ref="L91" si="106">SUM(L85:L90)</f>
        <v>6792.0722222222221</v>
      </c>
      <c r="M91" s="140">
        <f t="shared" ref="M91" si="107">SUM(M85:M90)</f>
        <v>1200</v>
      </c>
      <c r="N91" s="341">
        <f t="shared" ref="N91" si="108">SUM(N85:N90)</f>
        <v>0</v>
      </c>
      <c r="O91" s="338">
        <f t="shared" ref="O91" si="109">SUM(O85:O90)</f>
        <v>-8624.7077777777795</v>
      </c>
      <c r="P91" s="180">
        <f t="shared" ref="P91" si="110">SUM(P85:P90)</f>
        <v>5592.0722222222221</v>
      </c>
      <c r="Q91" s="339">
        <f t="shared" ref="Q91" si="111">SUM(Q85:Q90)</f>
        <v>6792.0722222222221</v>
      </c>
      <c r="R91"/>
      <c r="S91" s="387">
        <f>K91/K$31</f>
        <v>1.8844876097724811E-2</v>
      </c>
      <c r="T91" s="291">
        <f>L91/L$31</f>
        <v>6.3364946671736269E-3</v>
      </c>
      <c r="U91" s="388">
        <f>N91/N$31</f>
        <v>0</v>
      </c>
      <c r="V91" s="265"/>
      <c r="W91" s="173" t="s">
        <v>343</v>
      </c>
      <c r="X91" s="140">
        <f t="shared" ref="X91" si="112">SUM(X85:X90)</f>
        <v>15416.78</v>
      </c>
      <c r="Y91" s="140">
        <f t="shared" ref="Y91" si="113">SUM(Y85:Y90)</f>
        <v>5624.93</v>
      </c>
      <c r="Z91" s="140">
        <f t="shared" ref="Z91" si="114">SUM(Z85:Z90)</f>
        <v>5252.14</v>
      </c>
      <c r="AA91" s="140">
        <f t="shared" ref="AA91" si="115">SUM(AA85:AA90)</f>
        <v>372.79</v>
      </c>
      <c r="AB91" s="182">
        <f>C91/C$31</f>
        <v>3.8534870837364572E-2</v>
      </c>
      <c r="AC91" s="182">
        <f>D91/D$31</f>
        <v>3.0567832774881822E-2</v>
      </c>
      <c r="AD91" s="182">
        <f>E91/E$31</f>
        <v>1.0681925024976823E-2</v>
      </c>
      <c r="AE91" s="182">
        <f>F91/F$31</f>
        <v>1.1490250206879904E-2</v>
      </c>
      <c r="AF91" s="182">
        <f>G91/G$31</f>
        <v>1.8885002462152113E-2</v>
      </c>
      <c r="AG91" s="182">
        <f>H91/H$31</f>
        <v>6.2551499359798264E-3</v>
      </c>
      <c r="AH91" s="182">
        <f>I91/I$31</f>
        <v>3.9148888831824751E-3</v>
      </c>
      <c r="AI91" s="182">
        <f>J91/J$31</f>
        <v>8.2212588808037012E-3</v>
      </c>
    </row>
    <row r="92" spans="1:35" s="3" customFormat="1">
      <c r="A92" s="65"/>
      <c r="B92" s="112"/>
      <c r="C92" s="338"/>
      <c r="D92" s="180"/>
      <c r="E92" s="180"/>
      <c r="F92" s="339"/>
      <c r="G92" s="140"/>
      <c r="H92" s="140"/>
      <c r="I92" s="140"/>
      <c r="J92" s="309"/>
      <c r="K92" s="367"/>
      <c r="L92" s="140"/>
      <c r="M92" s="140"/>
      <c r="N92" s="341"/>
      <c r="O92" s="373"/>
      <c r="P92" s="181"/>
      <c r="Q92" s="374"/>
      <c r="R92"/>
      <c r="S92" s="387"/>
      <c r="T92" s="291"/>
      <c r="U92" s="388"/>
      <c r="V92" s="265"/>
      <c r="W92" s="173"/>
      <c r="X92" s="274"/>
      <c r="Y92" s="274"/>
      <c r="Z92" s="274"/>
      <c r="AA92" s="274"/>
      <c r="AB92" s="182"/>
      <c r="AC92" s="182"/>
      <c r="AD92" s="182"/>
      <c r="AE92" s="182"/>
      <c r="AF92" s="182"/>
      <c r="AG92" s="182"/>
      <c r="AH92" s="182"/>
      <c r="AI92" s="182"/>
    </row>
    <row r="93" spans="1:35" s="3" customFormat="1">
      <c r="A93" s="65" t="s">
        <v>344</v>
      </c>
      <c r="B93" s="112"/>
      <c r="C93" s="338"/>
      <c r="D93" s="180"/>
      <c r="E93" s="180"/>
      <c r="F93" s="339"/>
      <c r="G93" s="140"/>
      <c r="H93" s="140"/>
      <c r="I93" s="140"/>
      <c r="J93" s="309"/>
      <c r="K93" s="367"/>
      <c r="L93" s="140"/>
      <c r="M93" s="140"/>
      <c r="N93" s="341"/>
      <c r="O93" s="373"/>
      <c r="P93" s="181"/>
      <c r="Q93" s="374"/>
      <c r="R93"/>
      <c r="S93" s="387"/>
      <c r="T93" s="291"/>
      <c r="U93" s="388"/>
      <c r="V93" s="265"/>
      <c r="W93" s="173" t="s">
        <v>344</v>
      </c>
      <c r="X93" s="138"/>
      <c r="Y93" s="138"/>
      <c r="Z93" s="138"/>
      <c r="AA93" s="138"/>
      <c r="AB93" s="182"/>
      <c r="AC93" s="182"/>
      <c r="AD93" s="182"/>
      <c r="AE93" s="182"/>
      <c r="AF93" s="182"/>
      <c r="AG93" s="182"/>
      <c r="AH93" s="182"/>
      <c r="AI93" s="182"/>
    </row>
    <row r="94" spans="1:35">
      <c r="A94" s="15"/>
      <c r="B94" s="29" t="s">
        <v>345</v>
      </c>
      <c r="C94" s="336">
        <v>25.99</v>
      </c>
      <c r="D94" s="11">
        <v>0</v>
      </c>
      <c r="E94" s="11">
        <v>0</v>
      </c>
      <c r="F94" s="337">
        <v>35</v>
      </c>
      <c r="G94" s="138">
        <v>5</v>
      </c>
      <c r="H94" s="138">
        <v>28</v>
      </c>
      <c r="I94" s="138">
        <v>0</v>
      </c>
      <c r="J94" s="170">
        <f>SUM(G94:I94)/9*2+AA94</f>
        <v>7.8533333333333335</v>
      </c>
      <c r="K94" s="366">
        <f>SUM(C94:F94)</f>
        <v>60.989999999999995</v>
      </c>
      <c r="L94" s="138">
        <f>SUM(G94:J94)</f>
        <v>40.853333333333332</v>
      </c>
      <c r="M94" s="138"/>
      <c r="N94" s="404"/>
      <c r="O94" s="371">
        <f>L94-K94</f>
        <v>-20.136666666666663</v>
      </c>
      <c r="P94" s="178">
        <f>L94-M94</f>
        <v>40.853333333333332</v>
      </c>
      <c r="Q94" s="372">
        <f>L94-N94</f>
        <v>40.853333333333332</v>
      </c>
      <c r="S94" s="385">
        <f>K94/K$31</f>
        <v>7.4551819069885929E-5</v>
      </c>
      <c r="T94" s="290">
        <f>L94/L$31</f>
        <v>3.8113100145781058E-5</v>
      </c>
      <c r="U94" s="386">
        <f>N94/N$31</f>
        <v>0</v>
      </c>
      <c r="V94" s="264"/>
      <c r="W94" s="126" t="s">
        <v>345</v>
      </c>
      <c r="X94" s="138">
        <v>60.99</v>
      </c>
      <c r="Y94" s="138">
        <v>33.520000000000003</v>
      </c>
      <c r="Z94" s="138">
        <f>Y94-AA94</f>
        <v>33</v>
      </c>
      <c r="AA94" s="138">
        <v>0.52</v>
      </c>
      <c r="AB94" s="179">
        <f>C94/C$31</f>
        <v>2.759878565343125E-4</v>
      </c>
      <c r="AC94" s="179">
        <f>D94/D$31</f>
        <v>0</v>
      </c>
      <c r="AD94" s="179">
        <f>E94/E$31</f>
        <v>0</v>
      </c>
      <c r="AE94" s="179">
        <f>F94/F$31</f>
        <v>1.8223863712158342E-4</v>
      </c>
      <c r="AF94" s="179">
        <f>G94/G$31</f>
        <v>6.161541824792368E-5</v>
      </c>
      <c r="AG94" s="179">
        <f>H94/H$31</f>
        <v>1.141034282375014E-4</v>
      </c>
      <c r="AH94" s="179">
        <f>I94/I$31</f>
        <v>0</v>
      </c>
      <c r="AI94" s="179">
        <f>J94/J$31</f>
        <v>4.1926706564661622E-5</v>
      </c>
    </row>
    <row r="95" spans="1:35">
      <c r="A95" s="15"/>
      <c r="B95" s="29" t="s">
        <v>346</v>
      </c>
      <c r="C95" s="336">
        <v>99.75</v>
      </c>
      <c r="D95" s="11">
        <v>3336.91</v>
      </c>
      <c r="E95" s="11">
        <v>7951.28</v>
      </c>
      <c r="F95" s="337">
        <v>1387.05</v>
      </c>
      <c r="G95" s="138">
        <v>517.51</v>
      </c>
      <c r="H95" s="138">
        <v>2444.4499999999998</v>
      </c>
      <c r="I95" s="138">
        <v>9129.36</v>
      </c>
      <c r="J95" s="170">
        <f>SUM(G95:I95)/9*2+AA95</f>
        <v>3092.01</v>
      </c>
      <c r="K95" s="366">
        <f>SUM(C95:F95)</f>
        <v>12774.989999999998</v>
      </c>
      <c r="L95" s="138">
        <f>SUM(G95:J95)</f>
        <v>15183.33</v>
      </c>
      <c r="M95" s="138">
        <v>15000</v>
      </c>
      <c r="N95" s="404"/>
      <c r="O95" s="371">
        <f>L95-K95</f>
        <v>2408.340000000002</v>
      </c>
      <c r="P95" s="178">
        <f>L95-M95</f>
        <v>183.32999999999993</v>
      </c>
      <c r="Q95" s="372">
        <f>L95-N95</f>
        <v>15183.33</v>
      </c>
      <c r="S95" s="385">
        <f>K95/K$31</f>
        <v>1.561565409246765E-2</v>
      </c>
      <c r="T95" s="290">
        <f>L95/L$31</f>
        <v>1.4164909681048676E-2</v>
      </c>
      <c r="U95" s="386">
        <f>N95/N$31</f>
        <v>0</v>
      </c>
      <c r="V95" s="264"/>
      <c r="W95" s="126" t="s">
        <v>346</v>
      </c>
      <c r="X95" s="138">
        <v>12774.99</v>
      </c>
      <c r="Y95" s="138">
        <v>12496.37</v>
      </c>
      <c r="Z95" s="138">
        <f>Y95-AA95</f>
        <v>12091.320000000002</v>
      </c>
      <c r="AA95" s="138">
        <v>405.05</v>
      </c>
      <c r="AB95" s="179">
        <f>C95/C$31</f>
        <v>1.0592454285993718E-3</v>
      </c>
      <c r="AC95" s="179">
        <f>D95/D$31</f>
        <v>1.7015438165978985E-2</v>
      </c>
      <c r="AD95" s="179">
        <f>E95/E$31</f>
        <v>2.3682054168192596E-2</v>
      </c>
      <c r="AE95" s="179">
        <f>F95/F$31</f>
        <v>7.2221171891283511E-3</v>
      </c>
      <c r="AF95" s="179">
        <f>G95/G$31</f>
        <v>6.3773190194965964E-3</v>
      </c>
      <c r="AG95" s="179">
        <f>H95/H$31</f>
        <v>9.9614330412557232E-3</v>
      </c>
      <c r="AH95" s="179">
        <f>I95/I$31</f>
        <v>1.6359497216799985E-2</v>
      </c>
      <c r="AI95" s="179">
        <f>J95/J$31</f>
        <v>1.6507359418293642E-2</v>
      </c>
    </row>
    <row r="96" spans="1:35" s="3" customFormat="1">
      <c r="A96" s="65" t="s">
        <v>347</v>
      </c>
      <c r="B96" s="112"/>
      <c r="C96" s="338">
        <f>SUM(C94:C95)</f>
        <v>125.74</v>
      </c>
      <c r="D96" s="180">
        <f t="shared" ref="D96:F96" si="116">SUM(D94:D95)</f>
        <v>3336.91</v>
      </c>
      <c r="E96" s="180">
        <f t="shared" si="116"/>
        <v>7951.28</v>
      </c>
      <c r="F96" s="339">
        <f t="shared" si="116"/>
        <v>1422.05</v>
      </c>
      <c r="G96" s="180">
        <f>SUM(G94:G95)</f>
        <v>522.51</v>
      </c>
      <c r="H96" s="180">
        <f t="shared" ref="H96:J96" si="117">SUM(H94:H95)</f>
        <v>2472.4499999999998</v>
      </c>
      <c r="I96" s="180">
        <f t="shared" si="117"/>
        <v>9129.36</v>
      </c>
      <c r="J96" s="309">
        <f t="shared" si="117"/>
        <v>3099.8633333333337</v>
      </c>
      <c r="K96" s="338">
        <f t="shared" ref="K96" si="118">SUM(K94:K95)</f>
        <v>12835.979999999998</v>
      </c>
      <c r="L96" s="140">
        <f t="shared" ref="L96" si="119">SUM(L94:L95)</f>
        <v>15224.183333333332</v>
      </c>
      <c r="M96" s="140">
        <f t="shared" ref="M96" si="120">SUM(M94:M95)</f>
        <v>15000</v>
      </c>
      <c r="N96" s="341">
        <f t="shared" ref="N96" si="121">SUM(N94:N95)</f>
        <v>0</v>
      </c>
      <c r="O96" s="338">
        <f t="shared" ref="O96" si="122">SUM(O94:O95)</f>
        <v>2388.2033333333352</v>
      </c>
      <c r="P96" s="180">
        <f t="shared" ref="P96" si="123">SUM(P94:P95)</f>
        <v>224.18333333333325</v>
      </c>
      <c r="Q96" s="339">
        <f t="shared" ref="Q96" si="124">SUM(Q94:Q95)</f>
        <v>15224.183333333332</v>
      </c>
      <c r="R96"/>
      <c r="S96" s="387">
        <f>K96/K$31</f>
        <v>1.5690205911537535E-2</v>
      </c>
      <c r="T96" s="291">
        <f>L96/L$31</f>
        <v>1.4203022781194456E-2</v>
      </c>
      <c r="U96" s="388">
        <f>N96/N$31</f>
        <v>0</v>
      </c>
      <c r="V96" s="265"/>
      <c r="W96" s="173" t="s">
        <v>347</v>
      </c>
      <c r="X96" s="140">
        <f t="shared" ref="X96" si="125">SUM(X94:X95)</f>
        <v>12835.98</v>
      </c>
      <c r="Y96" s="140">
        <f t="shared" ref="Y96" si="126">SUM(Y94:Y95)</f>
        <v>12529.890000000001</v>
      </c>
      <c r="Z96" s="140">
        <f t="shared" ref="Z96:AA96" si="127">SUM(Z94:Z95)</f>
        <v>12124.320000000002</v>
      </c>
      <c r="AA96" s="140">
        <f t="shared" si="127"/>
        <v>405.57</v>
      </c>
      <c r="AB96" s="182">
        <f>C96/C$31</f>
        <v>1.3352332851336841E-3</v>
      </c>
      <c r="AC96" s="182">
        <f>D96/D$31</f>
        <v>1.7015438165978985E-2</v>
      </c>
      <c r="AD96" s="182">
        <f>E96/E$31</f>
        <v>2.3682054168192596E-2</v>
      </c>
      <c r="AE96" s="182">
        <f>F96/F$31</f>
        <v>7.4043558262499344E-3</v>
      </c>
      <c r="AF96" s="182">
        <f>G96/G$31</f>
        <v>6.4389344377445206E-3</v>
      </c>
      <c r="AG96" s="182">
        <f>H96/H$31</f>
        <v>1.0075536469493225E-2</v>
      </c>
      <c r="AH96" s="182">
        <f>I96/I$31</f>
        <v>1.6359497216799985E-2</v>
      </c>
      <c r="AI96" s="182">
        <f>J96/J$31</f>
        <v>1.6549286124858304E-2</v>
      </c>
    </row>
    <row r="97" spans="1:35">
      <c r="A97" s="15"/>
      <c r="B97" s="29"/>
      <c r="C97" s="336"/>
      <c r="D97" s="11"/>
      <c r="E97" s="11"/>
      <c r="F97" s="337"/>
      <c r="G97" s="138"/>
      <c r="H97" s="138"/>
      <c r="I97" s="138"/>
      <c r="J97" s="170"/>
      <c r="K97" s="366"/>
      <c r="L97" s="138"/>
      <c r="M97" s="138"/>
      <c r="N97" s="404"/>
      <c r="O97" s="371"/>
      <c r="P97" s="178"/>
      <c r="Q97" s="372"/>
      <c r="S97" s="385"/>
      <c r="T97" s="290"/>
      <c r="U97" s="386"/>
      <c r="V97" s="264"/>
      <c r="W97" s="126"/>
      <c r="X97" s="138"/>
      <c r="Y97" s="138"/>
      <c r="Z97" s="138"/>
      <c r="AA97" s="138"/>
      <c r="AB97" s="179"/>
      <c r="AC97" s="179"/>
      <c r="AD97" s="179"/>
      <c r="AE97" s="179"/>
      <c r="AF97" s="179"/>
      <c r="AG97" s="179"/>
      <c r="AH97" s="179"/>
      <c r="AI97" s="179"/>
    </row>
    <row r="98" spans="1:35" s="3" customFormat="1">
      <c r="A98" s="65" t="s">
        <v>348</v>
      </c>
      <c r="B98" s="112"/>
      <c r="C98" s="338"/>
      <c r="D98" s="180"/>
      <c r="E98" s="180"/>
      <c r="F98" s="339"/>
      <c r="G98" s="140"/>
      <c r="H98" s="140"/>
      <c r="I98" s="140"/>
      <c r="J98" s="309"/>
      <c r="K98" s="367"/>
      <c r="L98" s="140"/>
      <c r="M98" s="140"/>
      <c r="N98" s="341"/>
      <c r="O98" s="373"/>
      <c r="P98" s="181"/>
      <c r="Q98" s="374"/>
      <c r="R98"/>
      <c r="S98" s="387"/>
      <c r="T98" s="291"/>
      <c r="U98" s="388"/>
      <c r="V98" s="265"/>
      <c r="W98" s="173" t="s">
        <v>348</v>
      </c>
      <c r="X98" s="138"/>
      <c r="Y98" s="138"/>
      <c r="Z98" s="138"/>
      <c r="AA98" s="138"/>
      <c r="AB98" s="182"/>
      <c r="AC98" s="182"/>
      <c r="AD98" s="182"/>
      <c r="AE98" s="182"/>
      <c r="AF98" s="182"/>
      <c r="AG98" s="182"/>
      <c r="AH98" s="182"/>
      <c r="AI98" s="182"/>
    </row>
    <row r="99" spans="1:35">
      <c r="A99" s="15"/>
      <c r="B99" s="29" t="s">
        <v>349</v>
      </c>
      <c r="C99" s="336">
        <v>4621.45</v>
      </c>
      <c r="D99" s="11">
        <v>0</v>
      </c>
      <c r="E99" s="11">
        <v>1500</v>
      </c>
      <c r="F99" s="337">
        <v>0</v>
      </c>
      <c r="G99" s="138">
        <v>4950</v>
      </c>
      <c r="H99" s="138">
        <v>0</v>
      </c>
      <c r="I99" s="138">
        <v>330</v>
      </c>
      <c r="J99" s="170">
        <f>SUM(G99:I99)/9*2+AA99</f>
        <v>1173.3333333333333</v>
      </c>
      <c r="K99" s="366">
        <f>SUM(C99:F99)</f>
        <v>6121.45</v>
      </c>
      <c r="L99" s="138">
        <f>SUM(G99:J99)</f>
        <v>6453.333333333333</v>
      </c>
      <c r="M99" s="138">
        <v>10000</v>
      </c>
      <c r="N99" s="404"/>
      <c r="O99" s="371">
        <f>L99-K99</f>
        <v>331.88333333333321</v>
      </c>
      <c r="P99" s="178">
        <f>L99-M99</f>
        <v>-3546.666666666667</v>
      </c>
      <c r="Q99" s="372">
        <f>L99-N99</f>
        <v>6453.333333333333</v>
      </c>
      <c r="S99" s="385">
        <f>K99/K$31</f>
        <v>7.4826239194188101E-3</v>
      </c>
      <c r="T99" s="290">
        <f>L99/L$31</f>
        <v>6.0204766548818634E-3</v>
      </c>
      <c r="U99" s="386">
        <f>N99/N$31</f>
        <v>0</v>
      </c>
      <c r="V99" s="264"/>
      <c r="W99" s="126" t="s">
        <v>349</v>
      </c>
      <c r="X99" s="138">
        <v>6121.45</v>
      </c>
      <c r="Y99" s="138">
        <v>5280</v>
      </c>
      <c r="Z99" s="138">
        <f>Y99-AA99</f>
        <v>5280</v>
      </c>
      <c r="AA99" s="138">
        <v>0</v>
      </c>
      <c r="AB99" s="179">
        <f>C99/C$31</f>
        <v>4.9075185824567082E-2</v>
      </c>
      <c r="AC99" s="179">
        <f>D99/D$31</f>
        <v>0</v>
      </c>
      <c r="AD99" s="179">
        <f>E99/E$31</f>
        <v>4.4675927966678188E-3</v>
      </c>
      <c r="AE99" s="179">
        <f>F99/F$31</f>
        <v>0</v>
      </c>
      <c r="AF99" s="179">
        <f>G99/G$31</f>
        <v>6.0999264065444446E-2</v>
      </c>
      <c r="AG99" s="179">
        <f>H99/H$31</f>
        <v>0</v>
      </c>
      <c r="AH99" s="179">
        <f>I99/I$31</f>
        <v>5.9134858101159279E-4</v>
      </c>
      <c r="AI99" s="179">
        <f>J99/J$31</f>
        <v>6.2640919824961333E-3</v>
      </c>
    </row>
    <row r="100" spans="1:35">
      <c r="A100" s="15"/>
      <c r="B100" s="29" t="s">
        <v>350</v>
      </c>
      <c r="C100" s="336">
        <v>0</v>
      </c>
      <c r="D100" s="11">
        <v>0</v>
      </c>
      <c r="E100" s="11">
        <v>0</v>
      </c>
      <c r="F100" s="346">
        <v>27557.53</v>
      </c>
      <c r="G100" s="138">
        <v>0</v>
      </c>
      <c r="H100" s="138">
        <v>2500</v>
      </c>
      <c r="I100" s="138">
        <v>0</v>
      </c>
      <c r="J100" s="170">
        <f>SUM(G100:I100)/9*2+AA100</f>
        <v>555.55555555555554</v>
      </c>
      <c r="K100" s="366">
        <f>SUM(C100:F100)</f>
        <v>27557.53</v>
      </c>
      <c r="L100" s="138">
        <f>SUM(G100:J100)</f>
        <v>3055.5555555555557</v>
      </c>
      <c r="M100" s="138">
        <v>3500</v>
      </c>
      <c r="N100" s="404"/>
      <c r="O100" s="371">
        <f>L100-K100</f>
        <v>-24501.974444444444</v>
      </c>
      <c r="P100" s="178">
        <f>L100-M100</f>
        <v>-444.44444444444434</v>
      </c>
      <c r="Q100" s="372">
        <f>L100-N100</f>
        <v>3055.5555555555557</v>
      </c>
      <c r="S100" s="385">
        <f>K100/K$31</f>
        <v>3.3685259724101552E-2</v>
      </c>
      <c r="T100" s="290">
        <f>L100/L$31</f>
        <v>2.8506044767433068E-3</v>
      </c>
      <c r="U100" s="386">
        <f>N100/N$31</f>
        <v>0</v>
      </c>
      <c r="V100" s="264"/>
      <c r="W100" s="126" t="s">
        <v>350</v>
      </c>
      <c r="X100" s="138">
        <v>27557.53</v>
      </c>
      <c r="Y100" s="138">
        <v>2500</v>
      </c>
      <c r="Z100" s="138">
        <f>Y100-AA100</f>
        <v>2500</v>
      </c>
      <c r="AA100" s="138">
        <v>0</v>
      </c>
      <c r="AB100" s="179">
        <f>C100/C$31</f>
        <v>0</v>
      </c>
      <c r="AC100" s="179">
        <f>D100/D$31</f>
        <v>0</v>
      </c>
      <c r="AD100" s="179">
        <f>E100/E$31</f>
        <v>0</v>
      </c>
      <c r="AE100" s="179">
        <f>F100/F$31</f>
        <v>0.14348704884677568</v>
      </c>
      <c r="AF100" s="179">
        <f>G100/G$31</f>
        <v>0</v>
      </c>
      <c r="AG100" s="179">
        <f>H100/H$31</f>
        <v>1.0187806092634054E-2</v>
      </c>
      <c r="AH100" s="179">
        <f>I100/I$31</f>
        <v>0</v>
      </c>
      <c r="AI100" s="179">
        <f>J100/J$31</f>
        <v>2.965952643227336E-3</v>
      </c>
    </row>
    <row r="101" spans="1:35">
      <c r="A101" s="15"/>
      <c r="B101" s="29" t="s">
        <v>351</v>
      </c>
      <c r="C101" s="336">
        <v>4740</v>
      </c>
      <c r="D101" s="11">
        <v>1125</v>
      </c>
      <c r="E101" s="11">
        <v>1980</v>
      </c>
      <c r="F101" s="337">
        <v>4927.5</v>
      </c>
      <c r="G101" s="138">
        <v>0</v>
      </c>
      <c r="H101" s="138">
        <v>0</v>
      </c>
      <c r="I101" s="138">
        <v>0</v>
      </c>
      <c r="J101" s="170">
        <f>SUM(G101:I101)/9*2+AA101</f>
        <v>0</v>
      </c>
      <c r="K101" s="366">
        <f>SUM(C101:F101)</f>
        <v>12772.5</v>
      </c>
      <c r="L101" s="138">
        <f>SUM(G101:J101)</f>
        <v>0</v>
      </c>
      <c r="M101" s="138"/>
      <c r="N101" s="404"/>
      <c r="O101" s="371">
        <f>L101-K101</f>
        <v>-12772.5</v>
      </c>
      <c r="P101" s="178">
        <f>L101-M101</f>
        <v>0</v>
      </c>
      <c r="Q101" s="372">
        <f>L101-N101</f>
        <v>0</v>
      </c>
      <c r="S101" s="385">
        <f>K101/K$31</f>
        <v>1.5612610412692542E-2</v>
      </c>
      <c r="T101" s="290">
        <f>L101/L$31</f>
        <v>0</v>
      </c>
      <c r="U101" s="386">
        <f>N101/N$31</f>
        <v>0</v>
      </c>
      <c r="V101" s="264"/>
      <c r="W101" s="126" t="s">
        <v>351</v>
      </c>
      <c r="X101" s="138">
        <v>12772.5</v>
      </c>
      <c r="Y101" s="138">
        <v>0</v>
      </c>
      <c r="Z101" s="138">
        <f>Y101-AA101</f>
        <v>0</v>
      </c>
      <c r="AA101" s="138">
        <v>0</v>
      </c>
      <c r="AB101" s="179">
        <f>C101/C$31</f>
        <v>5.0334068486827289E-2</v>
      </c>
      <c r="AC101" s="179">
        <f>D101/D$31</f>
        <v>5.736555057441273E-3</v>
      </c>
      <c r="AD101" s="179">
        <f>E101/E$31</f>
        <v>5.8972224916015205E-3</v>
      </c>
      <c r="AE101" s="179">
        <f>F101/F$31</f>
        <v>2.5656596697617211E-2</v>
      </c>
      <c r="AF101" s="179">
        <f>G101/G$31</f>
        <v>0</v>
      </c>
      <c r="AG101" s="179">
        <f>H101/H$31</f>
        <v>0</v>
      </c>
      <c r="AH101" s="179">
        <f>I101/I$31</f>
        <v>0</v>
      </c>
      <c r="AI101" s="179">
        <f>J101/J$31</f>
        <v>0</v>
      </c>
    </row>
    <row r="102" spans="1:35">
      <c r="A102" s="15"/>
      <c r="B102" s="29" t="s">
        <v>352</v>
      </c>
      <c r="C102" s="336">
        <v>1776.48</v>
      </c>
      <c r="D102" s="11">
        <v>5150.72</v>
      </c>
      <c r="E102" s="11">
        <v>25202.22</v>
      </c>
      <c r="F102" s="337">
        <v>-762.28</v>
      </c>
      <c r="G102" s="138">
        <v>2416.88</v>
      </c>
      <c r="H102" s="138">
        <v>4397.32</v>
      </c>
      <c r="I102" s="138">
        <v>8323.52</v>
      </c>
      <c r="J102" s="170">
        <f>SUM(G102:I102)/9*2+AA102</f>
        <v>4635.8177777777782</v>
      </c>
      <c r="K102" s="366">
        <f>SUM(C102:F102)</f>
        <v>31367.140000000003</v>
      </c>
      <c r="L102" s="138">
        <f>SUM(G102:J102)</f>
        <v>19773.537777777779</v>
      </c>
      <c r="M102" s="138">
        <v>30000</v>
      </c>
      <c r="N102" s="404"/>
      <c r="O102" s="371">
        <f>L102-K102</f>
        <v>-11593.602222222224</v>
      </c>
      <c r="P102" s="178">
        <f>L102-M102</f>
        <v>-10226.462222222221</v>
      </c>
      <c r="Q102" s="372">
        <f>L102-N102</f>
        <v>19773.537777777779</v>
      </c>
      <c r="S102" s="385">
        <f>K102/K$31</f>
        <v>3.8341979767499298E-2</v>
      </c>
      <c r="T102" s="290">
        <f>L102/L$31</f>
        <v>1.8447229737944586E-2</v>
      </c>
      <c r="U102" s="386">
        <f>N102/N$31</f>
        <v>0</v>
      </c>
      <c r="V102" s="264"/>
      <c r="W102" s="126" t="s">
        <v>352</v>
      </c>
      <c r="X102" s="138">
        <v>31367.14</v>
      </c>
      <c r="Y102" s="138">
        <v>16409.599999999999</v>
      </c>
      <c r="Z102" s="138">
        <f>Y102-AA102</f>
        <v>15137.719999999998</v>
      </c>
      <c r="AA102" s="138">
        <v>1271.8800000000001</v>
      </c>
      <c r="AB102" s="179">
        <f>C102/C$31</f>
        <v>1.8864444300733953E-2</v>
      </c>
      <c r="AC102" s="179">
        <f>D102/D$31</f>
        <v>2.6264345658190146E-2</v>
      </c>
      <c r="AD102" s="179">
        <f>E102/E$31</f>
        <v>7.5062171021358426E-2</v>
      </c>
      <c r="AE102" s="179">
        <f>F102/F$31</f>
        <v>-3.9690533801440171E-3</v>
      </c>
      <c r="AF102" s="179">
        <f>G102/G$31</f>
        <v>2.9783414411008357E-2</v>
      </c>
      <c r="AG102" s="179">
        <f>H102/H$31</f>
        <v>1.7919617394904629E-2</v>
      </c>
      <c r="AH102" s="179">
        <f>I102/I$31</f>
        <v>1.4915459821277616E-2</v>
      </c>
      <c r="AI102" s="179">
        <f>J102/J$31</f>
        <v>2.4749308784736499E-2</v>
      </c>
    </row>
    <row r="103" spans="1:35">
      <c r="A103" s="15"/>
      <c r="B103" s="29" t="s">
        <v>353</v>
      </c>
      <c r="C103" s="336">
        <v>0</v>
      </c>
      <c r="D103" s="11">
        <v>0</v>
      </c>
      <c r="E103" s="11">
        <v>0</v>
      </c>
      <c r="F103" s="337">
        <v>0</v>
      </c>
      <c r="G103" s="138">
        <v>0</v>
      </c>
      <c r="H103" s="138">
        <v>0</v>
      </c>
      <c r="I103" s="138">
        <v>0</v>
      </c>
      <c r="J103" s="170">
        <f>SUM(G103:I103)/9*2+AA103</f>
        <v>0</v>
      </c>
      <c r="K103" s="366">
        <f>SUM(C103:F103)</f>
        <v>0</v>
      </c>
      <c r="L103" s="138">
        <f>SUM(G103:J103)</f>
        <v>0</v>
      </c>
      <c r="M103" s="138"/>
      <c r="N103" s="404"/>
      <c r="O103" s="371">
        <f>L103-K103</f>
        <v>0</v>
      </c>
      <c r="P103" s="178">
        <f>L103-M103</f>
        <v>0</v>
      </c>
      <c r="Q103" s="372">
        <f>L103-N103</f>
        <v>0</v>
      </c>
      <c r="S103" s="385">
        <f>K103/K$31</f>
        <v>0</v>
      </c>
      <c r="T103" s="290">
        <f>L103/L$31</f>
        <v>0</v>
      </c>
      <c r="U103" s="386">
        <f>N103/N$31</f>
        <v>0</v>
      </c>
      <c r="V103" s="264"/>
      <c r="W103" s="126" t="s">
        <v>353</v>
      </c>
      <c r="X103" s="138">
        <v>0</v>
      </c>
      <c r="Y103" s="138">
        <v>0</v>
      </c>
      <c r="Z103" s="138">
        <f>Y103-AA103</f>
        <v>0</v>
      </c>
      <c r="AA103" s="138">
        <v>0</v>
      </c>
      <c r="AB103" s="179">
        <f>C103/C$31</f>
        <v>0</v>
      </c>
      <c r="AC103" s="179">
        <f>D103/D$31</f>
        <v>0</v>
      </c>
      <c r="AD103" s="179">
        <f>E103/E$31</f>
        <v>0</v>
      </c>
      <c r="AE103" s="179">
        <f>F103/F$31</f>
        <v>0</v>
      </c>
      <c r="AF103" s="179">
        <f>G103/G$31</f>
        <v>0</v>
      </c>
      <c r="AG103" s="179">
        <f>H103/H$31</f>
        <v>0</v>
      </c>
      <c r="AH103" s="179">
        <f>I103/I$31</f>
        <v>0</v>
      </c>
      <c r="AI103" s="179">
        <f>J103/J$31</f>
        <v>0</v>
      </c>
    </row>
    <row r="104" spans="1:35" s="3" customFormat="1">
      <c r="A104" s="65" t="s">
        <v>354</v>
      </c>
      <c r="B104" s="112"/>
      <c r="C104" s="338">
        <f>SUM(C99:C103)</f>
        <v>11137.93</v>
      </c>
      <c r="D104" s="180">
        <f t="shared" ref="D104:F104" si="128">SUM(D99:D103)</f>
        <v>6275.72</v>
      </c>
      <c r="E104" s="180">
        <f t="shared" si="128"/>
        <v>28682.22</v>
      </c>
      <c r="F104" s="339">
        <f t="shared" si="128"/>
        <v>31722.75</v>
      </c>
      <c r="G104" s="180">
        <f>SUM(G99:G103)</f>
        <v>7366.88</v>
      </c>
      <c r="H104" s="180">
        <f t="shared" ref="H104" si="129">SUM(H99:H103)</f>
        <v>6897.32</v>
      </c>
      <c r="I104" s="180">
        <f t="shared" ref="I104" si="130">SUM(I99:I103)</f>
        <v>8653.52</v>
      </c>
      <c r="J104" s="309">
        <f t="shared" ref="J104" si="131">SUM(J99:J103)</f>
        <v>6364.7066666666669</v>
      </c>
      <c r="K104" s="338">
        <f t="shared" ref="K104" si="132">SUM(K99:K103)</f>
        <v>77818.62</v>
      </c>
      <c r="L104" s="140">
        <f t="shared" ref="L104" si="133">SUM(L99:L103)</f>
        <v>29282.426666666666</v>
      </c>
      <c r="M104" s="140">
        <f t="shared" ref="M104" si="134">SUM(M99:M103)</f>
        <v>43500</v>
      </c>
      <c r="N104" s="341">
        <f t="shared" ref="N104" si="135">SUM(N99:N103)</f>
        <v>0</v>
      </c>
      <c r="O104" s="338">
        <f t="shared" ref="O104" si="136">SUM(O99:O103)</f>
        <v>-48536.193333333336</v>
      </c>
      <c r="P104" s="180">
        <f t="shared" ref="P104" si="137">SUM(P99:P103)</f>
        <v>-14217.573333333332</v>
      </c>
      <c r="Q104" s="339">
        <f t="shared" ref="Q104" si="138">SUM(Q99:Q103)</f>
        <v>29282.426666666666</v>
      </c>
      <c r="R104"/>
      <c r="S104" s="387">
        <f>K104/K$31</f>
        <v>9.5122473823712195E-2</v>
      </c>
      <c r="T104" s="291">
        <f>L104/L$31</f>
        <v>2.7318310869569755E-2</v>
      </c>
      <c r="U104" s="388">
        <f>N104/N$31</f>
        <v>0</v>
      </c>
      <c r="V104" s="265"/>
      <c r="W104" s="173" t="s">
        <v>354</v>
      </c>
      <c r="X104" s="140">
        <f t="shared" ref="X104" si="139">SUM(X99:X103)</f>
        <v>77818.62</v>
      </c>
      <c r="Y104" s="140">
        <f t="shared" ref="Y104" si="140">SUM(Y99:Y103)</f>
        <v>24189.599999999999</v>
      </c>
      <c r="Z104" s="140">
        <f t="shared" ref="Z104" si="141">SUM(Z99:Z103)</f>
        <v>22917.719999999998</v>
      </c>
      <c r="AA104" s="140">
        <f t="shared" ref="AA104" si="142">SUM(AA99:AA103)</f>
        <v>1271.8800000000001</v>
      </c>
      <c r="AB104" s="182">
        <f>C104/C$31</f>
        <v>0.11827369861212833</v>
      </c>
      <c r="AC104" s="182">
        <f>D104/D$31</f>
        <v>3.2000900715631421E-2</v>
      </c>
      <c r="AD104" s="182">
        <f>E104/E$31</f>
        <v>8.5426986309627764E-2</v>
      </c>
      <c r="AE104" s="182">
        <f>F104/F$31</f>
        <v>0.16517459216424887</v>
      </c>
      <c r="AF104" s="182">
        <f>G104/G$31</f>
        <v>9.0782678476452799E-2</v>
      </c>
      <c r="AG104" s="182">
        <f>H104/H$31</f>
        <v>2.8107423487538682E-2</v>
      </c>
      <c r="AH104" s="182">
        <f>I104/I$31</f>
        <v>1.5506808402289208E-2</v>
      </c>
      <c r="AI104" s="182">
        <f>J104/J$31</f>
        <v>3.3979353410459968E-2</v>
      </c>
    </row>
    <row r="105" spans="1:35" s="3" customFormat="1">
      <c r="A105" s="65"/>
      <c r="B105" s="112"/>
      <c r="C105" s="338"/>
      <c r="D105" s="180"/>
      <c r="E105" s="180"/>
      <c r="F105" s="339"/>
      <c r="G105" s="140"/>
      <c r="H105" s="140"/>
      <c r="I105" s="140"/>
      <c r="J105" s="309"/>
      <c r="K105" s="367"/>
      <c r="L105" s="140"/>
      <c r="M105" s="140"/>
      <c r="N105" s="341"/>
      <c r="O105" s="373"/>
      <c r="P105" s="181"/>
      <c r="Q105" s="374"/>
      <c r="R105"/>
      <c r="S105" s="387"/>
      <c r="T105" s="291"/>
      <c r="U105" s="388"/>
      <c r="V105" s="265"/>
      <c r="W105" s="173"/>
      <c r="X105" s="274"/>
      <c r="Y105" s="274"/>
      <c r="Z105" s="274"/>
      <c r="AA105" s="274"/>
      <c r="AB105" s="182"/>
      <c r="AC105" s="182"/>
      <c r="AD105" s="182"/>
      <c r="AE105" s="182"/>
      <c r="AF105" s="182"/>
      <c r="AG105" s="182"/>
      <c r="AH105" s="182"/>
      <c r="AI105" s="182"/>
    </row>
    <row r="106" spans="1:35">
      <c r="A106" s="65" t="s">
        <v>355</v>
      </c>
      <c r="B106" s="29"/>
      <c r="C106" s="336"/>
      <c r="D106" s="11"/>
      <c r="E106" s="11"/>
      <c r="F106" s="337"/>
      <c r="G106" s="138"/>
      <c r="H106" s="138"/>
      <c r="I106" s="138"/>
      <c r="J106" s="170"/>
      <c r="K106" s="366"/>
      <c r="L106" s="138"/>
      <c r="M106" s="138"/>
      <c r="N106" s="404"/>
      <c r="O106" s="371"/>
      <c r="P106" s="178"/>
      <c r="Q106" s="372"/>
      <c r="S106" s="385"/>
      <c r="T106" s="290"/>
      <c r="U106" s="386"/>
      <c r="V106" s="264"/>
      <c r="W106" s="173" t="s">
        <v>355</v>
      </c>
      <c r="X106" s="138"/>
      <c r="Y106" s="138"/>
      <c r="Z106" s="138"/>
      <c r="AA106" s="138"/>
      <c r="AB106" s="179"/>
      <c r="AC106" s="179"/>
      <c r="AD106" s="179"/>
      <c r="AE106" s="179"/>
      <c r="AF106" s="179"/>
      <c r="AG106" s="179"/>
      <c r="AH106" s="179"/>
      <c r="AI106" s="179"/>
    </row>
    <row r="107" spans="1:35">
      <c r="A107" s="15"/>
      <c r="B107" s="29" t="s">
        <v>356</v>
      </c>
      <c r="C107" s="336">
        <v>409.48</v>
      </c>
      <c r="D107" s="11">
        <v>4074.45</v>
      </c>
      <c r="E107" s="11">
        <v>7243.45</v>
      </c>
      <c r="F107" s="337">
        <v>4279.88</v>
      </c>
      <c r="G107" s="138">
        <v>1835.71</v>
      </c>
      <c r="H107" s="138">
        <v>7937.56</v>
      </c>
      <c r="I107" s="138">
        <v>9590.02</v>
      </c>
      <c r="J107" s="170">
        <f>SUM(G107:I107)/9*2+AA107</f>
        <v>5981.1533333333336</v>
      </c>
      <c r="K107" s="366">
        <f>SUM(C107:F107)</f>
        <v>16007.260000000002</v>
      </c>
      <c r="L107" s="138">
        <f>SUM(G107:J107)</f>
        <v>25344.443333333336</v>
      </c>
      <c r="M107" s="138">
        <v>28000</v>
      </c>
      <c r="N107" s="404"/>
      <c r="O107" s="371">
        <f>L107-K107</f>
        <v>9337.1833333333343</v>
      </c>
      <c r="P107" s="178">
        <f>L107-M107</f>
        <v>-2655.5566666666637</v>
      </c>
      <c r="Q107" s="372">
        <f>L107-N107</f>
        <v>25344.443333333336</v>
      </c>
      <c r="S107" s="385">
        <f>K107/K$31</f>
        <v>1.9566656030900516E-2</v>
      </c>
      <c r="T107" s="290">
        <f>L107/L$31</f>
        <v>2.3644467368694674E-2</v>
      </c>
      <c r="U107" s="386">
        <f>N107/N$31</f>
        <v>0</v>
      </c>
      <c r="V107" s="264"/>
      <c r="W107" s="126" t="s">
        <v>356</v>
      </c>
      <c r="X107" s="138">
        <v>16007.26</v>
      </c>
      <c r="Y107" s="138">
        <v>21041.49</v>
      </c>
      <c r="Z107" s="138">
        <f>Y107-AA107</f>
        <v>19363.29</v>
      </c>
      <c r="AA107" s="138">
        <v>1678.2</v>
      </c>
      <c r="AB107" s="179">
        <f>C107/C$31</f>
        <v>4.3482688531616114E-3</v>
      </c>
      <c r="AC107" s="179">
        <f>D107/D$31</f>
        <v>2.0776272670036972E-2</v>
      </c>
      <c r="AD107" s="179">
        <f>E107/E$31</f>
        <v>2.1573856695349006E-2</v>
      </c>
      <c r="AE107" s="179">
        <f>F107/F$31</f>
        <v>2.22845570926835E-2</v>
      </c>
      <c r="AF107" s="179">
        <f>G107/G$31</f>
        <v>2.2621607886379198E-2</v>
      </c>
      <c r="AG107" s="179">
        <f>H107/H$31</f>
        <v>3.2346528851459347E-2</v>
      </c>
      <c r="AH107" s="179">
        <f>I107/I$31</f>
        <v>1.7184983996584229E-2</v>
      </c>
      <c r="AI107" s="179">
        <f>J107/J$31</f>
        <v>3.1931671569386387E-2</v>
      </c>
    </row>
    <row r="108" spans="1:35">
      <c r="A108" s="15"/>
      <c r="B108" s="29" t="s">
        <v>357</v>
      </c>
      <c r="C108" s="336">
        <v>7143.67</v>
      </c>
      <c r="D108" s="11">
        <v>3041.93</v>
      </c>
      <c r="E108" s="11">
        <v>7267.85</v>
      </c>
      <c r="F108" s="337">
        <v>5902.76</v>
      </c>
      <c r="G108" s="138">
        <v>5548.11</v>
      </c>
      <c r="H108" s="138">
        <v>6165.81</v>
      </c>
      <c r="I108" s="138">
        <v>6604.65</v>
      </c>
      <c r="J108" s="170">
        <f>SUM(G108:I108)/9*2+AA108</f>
        <v>5545.7633333333333</v>
      </c>
      <c r="K108" s="366">
        <f>SUM(C108:F108)</f>
        <v>23356.21</v>
      </c>
      <c r="L108" s="138">
        <f>SUM(G108:J108)</f>
        <v>23864.333333333332</v>
      </c>
      <c r="M108" s="138">
        <v>21800</v>
      </c>
      <c r="N108" s="404"/>
      <c r="O108" s="371">
        <f>L108-K108</f>
        <v>508.12333333333299</v>
      </c>
      <c r="P108" s="178">
        <f>L108-M108</f>
        <v>2064.3333333333321</v>
      </c>
      <c r="Q108" s="372">
        <f>L108-N108</f>
        <v>23864.333333333332</v>
      </c>
      <c r="S108" s="385">
        <f>K108/K$31</f>
        <v>2.8549728514154132E-2</v>
      </c>
      <c r="T108" s="290">
        <f>L108/L$31</f>
        <v>2.2263635596743662E-2</v>
      </c>
      <c r="U108" s="386">
        <f>N108/N$31</f>
        <v>0</v>
      </c>
      <c r="V108" s="264"/>
      <c r="W108" s="126" t="s">
        <v>357</v>
      </c>
      <c r="X108" s="138">
        <v>23356.21</v>
      </c>
      <c r="Y108" s="138">
        <v>19793.54</v>
      </c>
      <c r="Z108" s="138">
        <f>Y108-AA108</f>
        <v>18318.57</v>
      </c>
      <c r="AA108" s="138">
        <v>1474.97</v>
      </c>
      <c r="AB108" s="179">
        <f>C108/C$31</f>
        <v>7.5858644520526056E-2</v>
      </c>
      <c r="AC108" s="179">
        <f>D108/D$31</f>
        <v>1.5511287934117627E-2</v>
      </c>
      <c r="AD108" s="179">
        <f>E108/E$31</f>
        <v>2.1646529538174804E-2</v>
      </c>
      <c r="AE108" s="179">
        <f>F108/F$31</f>
        <v>3.0734598218737082E-2</v>
      </c>
      <c r="AF108" s="179">
        <f>G108/G$31</f>
        <v>6.8369823627097565E-2</v>
      </c>
      <c r="AG108" s="179">
        <f>H108/H$31</f>
        <v>2.512643067360959E-2</v>
      </c>
      <c r="AH108" s="179">
        <f>I108/I$31</f>
        <v>1.1835304259327927E-2</v>
      </c>
      <c r="AI108" s="179">
        <f>J108/J$31</f>
        <v>2.9607248550983838E-2</v>
      </c>
    </row>
    <row r="109" spans="1:35">
      <c r="A109" s="15"/>
      <c r="B109" s="29" t="s">
        <v>358</v>
      </c>
      <c r="C109" s="336">
        <v>-120</v>
      </c>
      <c r="D109" s="11">
        <v>48.86</v>
      </c>
      <c r="E109" s="11">
        <v>792.81</v>
      </c>
      <c r="F109" s="337">
        <v>875.94</v>
      </c>
      <c r="G109" s="138">
        <v>1416.13</v>
      </c>
      <c r="H109" s="138">
        <v>1662.31</v>
      </c>
      <c r="I109" s="138">
        <v>1678.06</v>
      </c>
      <c r="J109" s="170">
        <f>SUM(G109:I109)/9*2+AA109</f>
        <v>1454.45</v>
      </c>
      <c r="K109" s="366">
        <f>SUM(C109:F109)</f>
        <v>1597.6100000000001</v>
      </c>
      <c r="L109" s="138">
        <f>SUM(G109:J109)</f>
        <v>6210.95</v>
      </c>
      <c r="M109" s="138"/>
      <c r="N109" s="404"/>
      <c r="O109" s="371">
        <f>L109-K109</f>
        <v>4613.34</v>
      </c>
      <c r="P109" s="178">
        <f>L109-M109</f>
        <v>6210.95</v>
      </c>
      <c r="Q109" s="372">
        <f>L109-N109</f>
        <v>6210.95</v>
      </c>
      <c r="S109" s="385">
        <f>K109/K$31</f>
        <v>1.9528567251064187E-3</v>
      </c>
      <c r="T109" s="290">
        <f>L109/L$31</f>
        <v>5.7943511590348934E-3</v>
      </c>
      <c r="U109" s="386">
        <f>N109/N$31</f>
        <v>0</v>
      </c>
      <c r="V109" s="264"/>
      <c r="W109" s="126" t="s">
        <v>358</v>
      </c>
      <c r="X109" s="138">
        <v>1597.61</v>
      </c>
      <c r="Y109" s="138">
        <v>5153.95</v>
      </c>
      <c r="Z109" s="138">
        <f>Y109-AA109</f>
        <v>4756.5</v>
      </c>
      <c r="AA109" s="138">
        <v>397.45</v>
      </c>
      <c r="AB109" s="179">
        <f>C109/C$31</f>
        <v>-1.2742802148563871E-3</v>
      </c>
      <c r="AC109" s="179">
        <f>D109/D$31</f>
        <v>2.4914496009473827E-4</v>
      </c>
      <c r="AD109" s="179">
        <f>E109/E$31</f>
        <v>2.3613014967508086E-3</v>
      </c>
      <c r="AE109" s="179">
        <f>F109/F$31</f>
        <v>4.5608603371508514E-3</v>
      </c>
      <c r="AF109" s="179">
        <f>G109/G$31</f>
        <v>1.7451088448686435E-2</v>
      </c>
      <c r="AG109" s="179">
        <f>H109/H$31</f>
        <v>6.7741167783386055E-3</v>
      </c>
      <c r="AH109" s="179">
        <f>I109/I$31</f>
        <v>3.0070254540979194E-3</v>
      </c>
      <c r="AI109" s="179">
        <f>J109/J$31</f>
        <v>7.7648936794955988E-3</v>
      </c>
    </row>
    <row r="110" spans="1:35">
      <c r="A110" s="15"/>
      <c r="B110" s="29" t="s">
        <v>359</v>
      </c>
      <c r="C110" s="336">
        <v>0</v>
      </c>
      <c r="D110" s="11">
        <v>4558.49</v>
      </c>
      <c r="E110" s="11">
        <v>0</v>
      </c>
      <c r="F110" s="337">
        <v>1790</v>
      </c>
      <c r="G110" s="138">
        <v>0</v>
      </c>
      <c r="H110" s="138">
        <v>0</v>
      </c>
      <c r="I110" s="138">
        <v>0</v>
      </c>
      <c r="J110" s="170">
        <f>SUM(G110:I110)/9*2+AA110</f>
        <v>0</v>
      </c>
      <c r="K110" s="366">
        <f>SUM(C110:F110)</f>
        <v>6348.49</v>
      </c>
      <c r="L110" s="138">
        <f>SUM(G110:J110)</f>
        <v>0</v>
      </c>
      <c r="M110" s="138"/>
      <c r="N110" s="404"/>
      <c r="O110" s="371">
        <f>L110-K110</f>
        <v>-6348.49</v>
      </c>
      <c r="P110" s="178">
        <f>L110-M110</f>
        <v>0</v>
      </c>
      <c r="Q110" s="372">
        <f>L110-N110</f>
        <v>0</v>
      </c>
      <c r="S110" s="385">
        <f>K110/K$31</f>
        <v>7.7601488415638652E-3</v>
      </c>
      <c r="T110" s="290">
        <f>L110/L$31</f>
        <v>0</v>
      </c>
      <c r="U110" s="386">
        <f>N110/N$31</f>
        <v>0</v>
      </c>
      <c r="V110" s="264"/>
      <c r="W110" s="126" t="s">
        <v>359</v>
      </c>
      <c r="X110" s="138">
        <v>6348.49</v>
      </c>
      <c r="Y110" s="138">
        <v>0</v>
      </c>
      <c r="Z110" s="138">
        <f>Y110-AA110</f>
        <v>0</v>
      </c>
      <c r="AA110" s="138">
        <v>0</v>
      </c>
      <c r="AB110" s="179">
        <f>C110/C$31</f>
        <v>0</v>
      </c>
      <c r="AC110" s="179">
        <f>D110/D$31</f>
        <v>2.3244470101151524E-2</v>
      </c>
      <c r="AD110" s="179">
        <f>E110/E$31</f>
        <v>0</v>
      </c>
      <c r="AE110" s="179">
        <f>F110/F$31</f>
        <v>9.3202045842181239E-3</v>
      </c>
      <c r="AF110" s="179">
        <f>G110/G$31</f>
        <v>0</v>
      </c>
      <c r="AG110" s="179">
        <f>H110/H$31</f>
        <v>0</v>
      </c>
      <c r="AH110" s="179">
        <f>I110/I$31</f>
        <v>0</v>
      </c>
      <c r="AI110" s="179">
        <f>J110/J$31</f>
        <v>0</v>
      </c>
    </row>
    <row r="111" spans="1:35" s="3" customFormat="1">
      <c r="A111" s="65" t="s">
        <v>360</v>
      </c>
      <c r="B111" s="112"/>
      <c r="C111" s="338">
        <f>SUM(C107:C110)</f>
        <v>7433.15</v>
      </c>
      <c r="D111" s="180">
        <f t="shared" ref="D111:F111" si="143">SUM(D107:D110)</f>
        <v>11723.73</v>
      </c>
      <c r="E111" s="180">
        <f t="shared" si="143"/>
        <v>15304.109999999999</v>
      </c>
      <c r="F111" s="339">
        <f t="shared" si="143"/>
        <v>12848.58</v>
      </c>
      <c r="G111" s="180">
        <f t="shared" ref="G111" si="144">SUM(G107:G110)</f>
        <v>8799.9500000000007</v>
      </c>
      <c r="H111" s="180">
        <f t="shared" ref="H111" si="145">SUM(H107:H110)</f>
        <v>15765.68</v>
      </c>
      <c r="I111" s="180">
        <f t="shared" ref="I111" si="146">SUM(I107:I110)</f>
        <v>17872.73</v>
      </c>
      <c r="J111" s="309">
        <f t="shared" ref="J111" si="147">SUM(J107:J110)</f>
        <v>12981.366666666669</v>
      </c>
      <c r="K111" s="338">
        <f t="shared" ref="K111" si="148">SUM(K107:K110)</f>
        <v>47309.57</v>
      </c>
      <c r="L111" s="140">
        <f t="shared" ref="L111" si="149">SUM(L107:L110)</f>
        <v>55419.726666666669</v>
      </c>
      <c r="M111" s="140">
        <f t="shared" ref="M111" si="150">SUM(M107:M110)</f>
        <v>49800</v>
      </c>
      <c r="N111" s="341">
        <f t="shared" ref="N111" si="151">SUM(N107:N110)</f>
        <v>0</v>
      </c>
      <c r="O111" s="338">
        <f t="shared" ref="O111" si="152">SUM(O107:O110)</f>
        <v>8110.1566666666677</v>
      </c>
      <c r="P111" s="180">
        <f t="shared" ref="P111" si="153">SUM(P107:P110)</f>
        <v>5619.7266666666683</v>
      </c>
      <c r="Q111" s="339">
        <f t="shared" ref="Q111" si="154">SUM(Q107:Q110)</f>
        <v>55419.726666666669</v>
      </c>
      <c r="R111"/>
      <c r="S111" s="387">
        <f>K111/K$31</f>
        <v>5.7829390111724929E-2</v>
      </c>
      <c r="T111" s="291">
        <f>L111/L$31</f>
        <v>5.1702454124473232E-2</v>
      </c>
      <c r="U111" s="388">
        <f>N111/N$31</f>
        <v>0</v>
      </c>
      <c r="V111" s="265"/>
      <c r="W111" s="173" t="s">
        <v>360</v>
      </c>
      <c r="X111" s="140">
        <f t="shared" ref="X111" si="155">SUM(X107:X110)</f>
        <v>47309.57</v>
      </c>
      <c r="Y111" s="140">
        <f t="shared" ref="Y111" si="156">SUM(Y107:Y110)</f>
        <v>45988.979999999996</v>
      </c>
      <c r="Z111" s="140">
        <f t="shared" ref="Z111" si="157">SUM(Z107:Z110)</f>
        <v>42438.36</v>
      </c>
      <c r="AA111" s="140">
        <f t="shared" ref="AA111" si="158">SUM(AA107:AA110)</f>
        <v>3550.62</v>
      </c>
      <c r="AB111" s="182">
        <f>C111/C$31</f>
        <v>7.893263315883127E-2</v>
      </c>
      <c r="AC111" s="182">
        <f>D111/D$31</f>
        <v>5.9781175665400865E-2</v>
      </c>
      <c r="AD111" s="182">
        <f>E111/E$31</f>
        <v>4.5581687730274614E-2</v>
      </c>
      <c r="AE111" s="182">
        <f>F111/F$31</f>
        <v>6.6900220232789548E-2</v>
      </c>
      <c r="AF111" s="182">
        <f>G111/G$31</f>
        <v>0.10844251996216321</v>
      </c>
      <c r="AG111" s="182">
        <f>H111/H$31</f>
        <v>6.4247076303407535E-2</v>
      </c>
      <c r="AH111" s="182">
        <f>I111/I$31</f>
        <v>3.2027313710010073E-2</v>
      </c>
      <c r="AI111" s="182">
        <f>J111/J$31</f>
        <v>6.9303813799865832E-2</v>
      </c>
    </row>
    <row r="112" spans="1:35" s="3" customFormat="1">
      <c r="A112" s="65"/>
      <c r="B112" s="112"/>
      <c r="C112" s="338"/>
      <c r="D112" s="180"/>
      <c r="E112" s="180"/>
      <c r="F112" s="339"/>
      <c r="G112" s="140"/>
      <c r="H112" s="140"/>
      <c r="I112" s="140"/>
      <c r="J112" s="309"/>
      <c r="K112" s="367"/>
      <c r="L112" s="140"/>
      <c r="M112" s="140"/>
      <c r="N112" s="341"/>
      <c r="O112" s="373"/>
      <c r="P112" s="181"/>
      <c r="Q112" s="374"/>
      <c r="R112"/>
      <c r="S112" s="387"/>
      <c r="T112" s="291"/>
      <c r="U112" s="388"/>
      <c r="V112" s="265"/>
      <c r="W112" s="173"/>
      <c r="X112" s="274"/>
      <c r="Y112" s="274"/>
      <c r="Z112" s="274"/>
      <c r="AA112" s="274"/>
      <c r="AB112" s="182"/>
      <c r="AC112" s="182"/>
      <c r="AD112" s="182"/>
      <c r="AE112" s="182"/>
      <c r="AF112" s="182"/>
      <c r="AG112" s="182"/>
      <c r="AH112" s="182"/>
      <c r="AI112" s="182"/>
    </row>
    <row r="113" spans="1:35" s="3" customFormat="1">
      <c r="A113" s="65" t="s">
        <v>361</v>
      </c>
      <c r="B113" s="112"/>
      <c r="C113" s="338"/>
      <c r="D113" s="180"/>
      <c r="E113" s="180"/>
      <c r="F113" s="339"/>
      <c r="G113" s="140"/>
      <c r="H113" s="140"/>
      <c r="I113" s="140"/>
      <c r="J113" s="309"/>
      <c r="K113" s="367"/>
      <c r="L113" s="140"/>
      <c r="M113" s="140"/>
      <c r="N113" s="341"/>
      <c r="O113" s="373"/>
      <c r="P113" s="181"/>
      <c r="Q113" s="374"/>
      <c r="R113"/>
      <c r="S113" s="387"/>
      <c r="T113" s="291"/>
      <c r="U113" s="388"/>
      <c r="V113" s="265"/>
      <c r="W113" s="173" t="s">
        <v>361</v>
      </c>
      <c r="X113" s="138"/>
      <c r="Y113" s="138"/>
      <c r="Z113" s="138"/>
      <c r="AA113" s="138"/>
      <c r="AB113" s="182"/>
      <c r="AC113" s="182"/>
      <c r="AD113" s="182"/>
      <c r="AE113" s="182"/>
      <c r="AF113" s="182"/>
      <c r="AG113" s="182"/>
      <c r="AH113" s="182"/>
      <c r="AI113" s="182"/>
    </row>
    <row r="114" spans="1:35">
      <c r="A114" s="15"/>
      <c r="B114" s="29" t="s">
        <v>362</v>
      </c>
      <c r="C114" s="336">
        <v>78.66</v>
      </c>
      <c r="D114" s="11">
        <v>1431.55</v>
      </c>
      <c r="E114" s="11">
        <v>2999.44</v>
      </c>
      <c r="F114" s="337">
        <v>2636.13</v>
      </c>
      <c r="G114" s="138">
        <v>2725.22</v>
      </c>
      <c r="H114" s="138">
        <v>1817.12</v>
      </c>
      <c r="I114" s="138">
        <v>2434.87</v>
      </c>
      <c r="J114" s="170">
        <f>SUM(G114:I114)/9*2+AA114</f>
        <v>6463.7111111111117</v>
      </c>
      <c r="K114" s="366">
        <f>SUM(C114:F114)</f>
        <v>7145.78</v>
      </c>
      <c r="L114" s="138">
        <f>SUM(G114:J114)</f>
        <v>13440.921111111111</v>
      </c>
      <c r="M114" s="138">
        <v>14000</v>
      </c>
      <c r="N114" s="404"/>
      <c r="O114" s="371">
        <f>L114-K114</f>
        <v>6295.1411111111111</v>
      </c>
      <c r="P114" s="178">
        <f>L114-M114</f>
        <v>-559.0788888888892</v>
      </c>
      <c r="Q114" s="372">
        <f>L114-N114</f>
        <v>13440.921111111111</v>
      </c>
      <c r="S114" s="385">
        <f>K114/K$31</f>
        <v>8.7347253266635439E-3</v>
      </c>
      <c r="T114" s="290">
        <f>L114/L$31</f>
        <v>1.2539372691563003E-2</v>
      </c>
      <c r="U114" s="386">
        <f>N114/N$31</f>
        <v>0</v>
      </c>
      <c r="V114" s="264"/>
      <c r="W114" s="126" t="s">
        <v>362</v>
      </c>
      <c r="X114" s="138">
        <v>7145.78</v>
      </c>
      <c r="Y114" s="138">
        <v>11890.43</v>
      </c>
      <c r="Z114" s="138">
        <f t="shared" ref="Z114:Z121" si="159">Y114-AA114</f>
        <v>6977.21</v>
      </c>
      <c r="AA114" s="138">
        <v>4913.22</v>
      </c>
      <c r="AB114" s="179">
        <f>C114/C$31</f>
        <v>8.3529068083836163E-4</v>
      </c>
      <c r="AC114" s="179">
        <f>D114/D$31</f>
        <v>7.2997025710933808E-3</v>
      </c>
      <c r="AD114" s="179">
        <f>E114/E$31</f>
        <v>8.933517692024882E-3</v>
      </c>
      <c r="AE114" s="179">
        <f>F114/F$31</f>
        <v>1.3725849670723421E-2</v>
      </c>
      <c r="AF114" s="179">
        <f>G114/G$31</f>
        <v>3.3583114023521314E-2</v>
      </c>
      <c r="AG114" s="179">
        <f>H114/H$31</f>
        <v>7.4049864828188757E-3</v>
      </c>
      <c r="AH114" s="179">
        <f>I114/I$31</f>
        <v>4.3632027862051418E-3</v>
      </c>
      <c r="AI114" s="179">
        <f>J114/J$31</f>
        <v>3.4507909899104225E-2</v>
      </c>
    </row>
    <row r="115" spans="1:35">
      <c r="A115" s="15"/>
      <c r="B115" s="29" t="s">
        <v>363</v>
      </c>
      <c r="C115" s="336">
        <v>0</v>
      </c>
      <c r="D115" s="11">
        <v>0</v>
      </c>
      <c r="E115" s="11">
        <v>2447.75</v>
      </c>
      <c r="F115" s="337">
        <v>0</v>
      </c>
      <c r="G115" s="138">
        <v>0</v>
      </c>
      <c r="H115" s="138">
        <v>0</v>
      </c>
      <c r="I115" s="138">
        <v>4979.67</v>
      </c>
      <c r="J115" s="170">
        <f>SUM(G115:I115)/9*2+AA115</f>
        <v>1106.5933333333332</v>
      </c>
      <c r="K115" s="366">
        <f>SUM(C115:F115)</f>
        <v>2447.75</v>
      </c>
      <c r="L115" s="138">
        <f>SUM(G115:J115)</f>
        <v>6086.2633333333333</v>
      </c>
      <c r="M115" s="138">
        <v>5650</v>
      </c>
      <c r="N115" s="404"/>
      <c r="O115" s="371">
        <f>L115-K115</f>
        <v>3638.5133333333333</v>
      </c>
      <c r="P115" s="178">
        <f>L115-M115</f>
        <v>436.26333333333332</v>
      </c>
      <c r="Q115" s="372">
        <f>L115-N115</f>
        <v>6086.2633333333333</v>
      </c>
      <c r="S115" s="385">
        <f>K115/K$31</f>
        <v>2.9920350078424872E-3</v>
      </c>
      <c r="T115" s="290">
        <f>L115/L$31</f>
        <v>5.6780278378817366E-3</v>
      </c>
      <c r="U115" s="386">
        <f>N115/N$31</f>
        <v>0</v>
      </c>
      <c r="V115" s="264"/>
      <c r="W115" s="126" t="s">
        <v>363</v>
      </c>
      <c r="X115" s="138">
        <v>2447.75</v>
      </c>
      <c r="Y115" s="138">
        <v>4979.67</v>
      </c>
      <c r="Z115" s="138">
        <f t="shared" si="159"/>
        <v>4979.67</v>
      </c>
      <c r="AA115" s="138">
        <v>0</v>
      </c>
      <c r="AB115" s="179">
        <f>C115/C$31</f>
        <v>0</v>
      </c>
      <c r="AC115" s="179">
        <f>D115/D$31</f>
        <v>0</v>
      </c>
      <c r="AD115" s="179">
        <f>E115/E$31</f>
        <v>7.2903668453624358E-3</v>
      </c>
      <c r="AE115" s="179">
        <f>F115/F$31</f>
        <v>0</v>
      </c>
      <c r="AF115" s="179">
        <f>G115/G$31</f>
        <v>0</v>
      </c>
      <c r="AG115" s="179">
        <f>H115/H$31</f>
        <v>0</v>
      </c>
      <c r="AH115" s="179">
        <f>I115/I$31</f>
        <v>8.9233963285030252E-3</v>
      </c>
      <c r="AI115" s="179">
        <f>J115/J$31</f>
        <v>5.9077861595599468E-3</v>
      </c>
    </row>
    <row r="116" spans="1:35">
      <c r="A116" s="15"/>
      <c r="B116" s="29" t="s">
        <v>364</v>
      </c>
      <c r="C116" s="336">
        <v>151.53</v>
      </c>
      <c r="D116" s="11">
        <v>723.64</v>
      </c>
      <c r="E116" s="11">
        <v>1802.56</v>
      </c>
      <c r="F116" s="337">
        <v>1951.41</v>
      </c>
      <c r="G116" s="138">
        <v>1010.72</v>
      </c>
      <c r="H116" s="138">
        <v>1857.54</v>
      </c>
      <c r="I116" s="138">
        <v>518.54999999999995</v>
      </c>
      <c r="J116" s="170">
        <f>SUM(G116:I116)/9*2+AA116</f>
        <v>1256.7644444444445</v>
      </c>
      <c r="K116" s="366">
        <f>SUM(C116:F116)</f>
        <v>4629.1400000000003</v>
      </c>
      <c r="L116" s="138">
        <f>SUM(G116:J116)</f>
        <v>4643.5744444444445</v>
      </c>
      <c r="M116" s="138">
        <v>10000</v>
      </c>
      <c r="N116" s="404"/>
      <c r="O116" s="371">
        <f>L116-K116</f>
        <v>14.434444444444125</v>
      </c>
      <c r="P116" s="178">
        <f>L116-M116</f>
        <v>-5356.4255555555555</v>
      </c>
      <c r="Q116" s="372">
        <f>L116-N116</f>
        <v>4643.5744444444445</v>
      </c>
      <c r="S116" s="385">
        <f>K116/K$31</f>
        <v>5.6584818450429878E-3</v>
      </c>
      <c r="T116" s="290">
        <f>L116/L$31</f>
        <v>4.332107159811539E-3</v>
      </c>
      <c r="U116" s="386">
        <f>N116/N$31</f>
        <v>0</v>
      </c>
      <c r="V116" s="264"/>
      <c r="W116" s="126" t="s">
        <v>364</v>
      </c>
      <c r="X116" s="138">
        <v>4629.1400000000003</v>
      </c>
      <c r="Y116" s="138">
        <v>3890.95</v>
      </c>
      <c r="Z116" s="138">
        <f t="shared" si="159"/>
        <v>3386.81</v>
      </c>
      <c r="AA116" s="138">
        <v>504.14</v>
      </c>
      <c r="AB116" s="179">
        <f>C116/C$31</f>
        <v>1.6090973413099027E-3</v>
      </c>
      <c r="AC116" s="179">
        <f>D116/D$31</f>
        <v>3.6899561793482688E-3</v>
      </c>
      <c r="AD116" s="179">
        <f>E116/E$31</f>
        <v>5.3687360477076953E-3</v>
      </c>
      <c r="AE116" s="179">
        <f>F116/F$31</f>
        <v>1.0160637110440832E-2</v>
      </c>
      <c r="AF116" s="179">
        <f>G116/G$31</f>
        <v>1.2455187106308285E-2</v>
      </c>
      <c r="AG116" s="179">
        <f>H116/H$31</f>
        <v>7.569702931724584E-3</v>
      </c>
      <c r="AH116" s="179">
        <f>I116/I$31</f>
        <v>9.2922365661685276E-4</v>
      </c>
      <c r="AI116" s="179">
        <f>J116/J$31</f>
        <v>6.7095068866454425E-3</v>
      </c>
    </row>
    <row r="117" spans="1:35">
      <c r="A117" s="15"/>
      <c r="B117" s="29" t="s">
        <v>365</v>
      </c>
      <c r="C117" s="336">
        <v>75.06</v>
      </c>
      <c r="D117" s="11">
        <v>120.48</v>
      </c>
      <c r="E117" s="11">
        <v>399.62</v>
      </c>
      <c r="F117" s="337">
        <v>553.05999999999995</v>
      </c>
      <c r="G117" s="138">
        <v>401.97</v>
      </c>
      <c r="H117" s="138">
        <v>873.61</v>
      </c>
      <c r="I117" s="138">
        <v>1278.6400000000001</v>
      </c>
      <c r="J117" s="170">
        <f>SUM(G117:I117)/9*2+AA117</f>
        <v>1343.0944444444444</v>
      </c>
      <c r="K117" s="366">
        <f>SUM(C117:F117)</f>
        <v>1148.22</v>
      </c>
      <c r="L117" s="138">
        <f>SUM(G117:J117)</f>
        <v>3897.3144444444447</v>
      </c>
      <c r="M117" s="138"/>
      <c r="N117" s="404"/>
      <c r="O117" s="371">
        <f>L117-K117</f>
        <v>2749.0944444444449</v>
      </c>
      <c r="P117" s="178">
        <f>L117-M117</f>
        <v>3897.3144444444447</v>
      </c>
      <c r="Q117" s="372">
        <f>L117-N117</f>
        <v>3897.3144444444447</v>
      </c>
      <c r="S117" s="385">
        <f>K117/K$31</f>
        <v>1.4035397555734453E-3</v>
      </c>
      <c r="T117" s="290">
        <f>L117/L$31</f>
        <v>3.6359024735813524E-3</v>
      </c>
      <c r="U117" s="386">
        <f>N117/N$31</f>
        <v>0</v>
      </c>
      <c r="V117" s="264"/>
      <c r="W117" s="126" t="s">
        <v>365</v>
      </c>
      <c r="X117" s="138">
        <v>1148.22</v>
      </c>
      <c r="Y117" s="138">
        <v>3329.71</v>
      </c>
      <c r="Z117" s="138">
        <f t="shared" si="159"/>
        <v>2554.2200000000003</v>
      </c>
      <c r="AA117" s="138">
        <v>775.49</v>
      </c>
      <c r="AB117" s="179">
        <f>C117/C$31</f>
        <v>7.9706227439267012E-4</v>
      </c>
      <c r="AC117" s="179">
        <f>D117/D$31</f>
        <v>6.143468029515774E-4</v>
      </c>
      <c r="AD117" s="179">
        <f>E117/E$31</f>
        <v>1.1902262889362625E-3</v>
      </c>
      <c r="AE117" s="179">
        <f>F117/F$31</f>
        <v>2.8796828756132262E-3</v>
      </c>
      <c r="AF117" s="179">
        <f>G117/G$31</f>
        <v>4.9535099346235765E-3</v>
      </c>
      <c r="AG117" s="179">
        <f>H117/H$31</f>
        <v>3.5600677122344143E-3</v>
      </c>
      <c r="AH117" s="179">
        <f>I117/I$31</f>
        <v>2.2912786352262517E-3</v>
      </c>
      <c r="AI117" s="179">
        <f>J117/J$31</f>
        <v>7.1703981316871106E-3</v>
      </c>
    </row>
    <row r="118" spans="1:35">
      <c r="A118" s="15"/>
      <c r="B118" s="29" t="s">
        <v>366</v>
      </c>
      <c r="C118" s="336">
        <v>2.25</v>
      </c>
      <c r="D118" s="11">
        <v>304.35000000000002</v>
      </c>
      <c r="E118" s="11">
        <v>11719.43</v>
      </c>
      <c r="F118" s="337">
        <v>1635.02</v>
      </c>
      <c r="G118" s="138">
        <v>55.55</v>
      </c>
      <c r="H118" s="138">
        <v>1330.25</v>
      </c>
      <c r="I118" s="138">
        <v>11791.15</v>
      </c>
      <c r="J118" s="170">
        <f>SUM(G118:I118)/9*2+AA118</f>
        <v>3845.5111111111109</v>
      </c>
      <c r="K118" s="366">
        <f>SUM(C118:F118)</f>
        <v>13661.050000000001</v>
      </c>
      <c r="L118" s="138">
        <f>SUM(G118:J118)</f>
        <v>17022.461111111108</v>
      </c>
      <c r="M118" s="138">
        <v>5000</v>
      </c>
      <c r="N118" s="404"/>
      <c r="O118" s="371">
        <f>L118-K118</f>
        <v>3361.4111111111069</v>
      </c>
      <c r="P118" s="178">
        <f>L118-M118</f>
        <v>12022.461111111108</v>
      </c>
      <c r="Q118" s="372">
        <f>L118-N118</f>
        <v>17022.461111111108</v>
      </c>
      <c r="S118" s="385">
        <f>K118/K$31</f>
        <v>1.669873959509207E-2</v>
      </c>
      <c r="T118" s="290">
        <f>L118/L$31</f>
        <v>1.5880681259516347E-2</v>
      </c>
      <c r="U118" s="386">
        <f>N118/N$31</f>
        <v>0</v>
      </c>
      <c r="V118" s="264"/>
      <c r="W118" s="126" t="s">
        <v>366</v>
      </c>
      <c r="X118" s="138">
        <v>13661.05</v>
      </c>
      <c r="Y118" s="138">
        <v>14094.25</v>
      </c>
      <c r="Z118" s="138">
        <f t="shared" si="159"/>
        <v>13176.95</v>
      </c>
      <c r="AA118" s="138">
        <v>917.3</v>
      </c>
      <c r="AB118" s="179">
        <f>C118/C$31</f>
        <v>2.3892754028557259E-5</v>
      </c>
      <c r="AC118" s="179">
        <f>D118/D$31</f>
        <v>1.5519293615397791E-3</v>
      </c>
      <c r="AD118" s="179">
        <f>E118/E$31</f>
        <v>3.4905094032701825E-2</v>
      </c>
      <c r="AE118" s="179">
        <f>F118/F$31</f>
        <v>8.5132518990437521E-3</v>
      </c>
      <c r="AF118" s="179">
        <f>G118/G$31</f>
        <v>6.8454729673443203E-4</v>
      </c>
      <c r="AG118" s="179">
        <f>H118/H$31</f>
        <v>5.4209316218905802E-3</v>
      </c>
      <c r="AH118" s="179">
        <f>I118/I$31</f>
        <v>2.1129332790893463E-2</v>
      </c>
      <c r="AI118" s="179">
        <f>J118/J$31</f>
        <v>2.0530086920208163E-2</v>
      </c>
    </row>
    <row r="119" spans="1:35">
      <c r="A119" s="15"/>
      <c r="B119" s="29" t="s">
        <v>367</v>
      </c>
      <c r="C119" s="336">
        <v>0</v>
      </c>
      <c r="D119" s="11">
        <v>2481.25</v>
      </c>
      <c r="E119" s="11">
        <v>4329.08</v>
      </c>
      <c r="F119" s="337">
        <v>5355.33</v>
      </c>
      <c r="G119" s="138">
        <v>29.99</v>
      </c>
      <c r="H119" s="138">
        <v>803.11</v>
      </c>
      <c r="I119" s="138">
        <v>6050.31</v>
      </c>
      <c r="J119" s="170">
        <f>SUM(G119:I119)/9*2+AA119</f>
        <v>1557.6366666666668</v>
      </c>
      <c r="K119" s="366">
        <f>SUM(C119:F119)</f>
        <v>12165.66</v>
      </c>
      <c r="L119" s="138">
        <f>SUM(G119:J119)</f>
        <v>8441.0466666666671</v>
      </c>
      <c r="M119" s="138">
        <v>25000</v>
      </c>
      <c r="N119" s="404"/>
      <c r="O119" s="371">
        <f>L119-K119</f>
        <v>-3724.6133333333328</v>
      </c>
      <c r="P119" s="178">
        <f>L119-M119</f>
        <v>-16558.953333333331</v>
      </c>
      <c r="Q119" s="372">
        <f>L119-N119</f>
        <v>8441.0466666666671</v>
      </c>
      <c r="S119" s="385">
        <f>K119/K$31</f>
        <v>1.487083264774141E-2</v>
      </c>
      <c r="T119" s="290">
        <f>L119/L$31</f>
        <v>7.8748643180942737E-3</v>
      </c>
      <c r="U119" s="386">
        <f>N119/N$31</f>
        <v>0</v>
      </c>
      <c r="V119" s="264"/>
      <c r="W119" s="126" t="s">
        <v>367</v>
      </c>
      <c r="X119" s="138">
        <v>12165.66</v>
      </c>
      <c r="Y119" s="138">
        <v>6911.4</v>
      </c>
      <c r="Z119" s="138">
        <f t="shared" si="159"/>
        <v>6883.41</v>
      </c>
      <c r="AA119" s="138">
        <v>27.99</v>
      </c>
      <c r="AB119" s="179">
        <f>C119/C$31</f>
        <v>0</v>
      </c>
      <c r="AC119" s="179">
        <f>D119/D$31</f>
        <v>1.2652290876689919E-2</v>
      </c>
      <c r="AD119" s="179">
        <f>E119/E$31</f>
        <v>1.2893711082799146E-2</v>
      </c>
      <c r="AE119" s="179">
        <f>F119/F$31</f>
        <v>2.7884229729609411E-2</v>
      </c>
      <c r="AF119" s="179">
        <f>G119/G$31</f>
        <v>3.6956927865104623E-4</v>
      </c>
      <c r="AG119" s="179">
        <f>H119/H$31</f>
        <v>3.2727715804221338E-3</v>
      </c>
      <c r="AH119" s="179">
        <f>I119/I$31</f>
        <v>1.0841946161152274E-2</v>
      </c>
      <c r="AI119" s="179">
        <f>J119/J$31</f>
        <v>8.3157778596380707E-3</v>
      </c>
    </row>
    <row r="120" spans="1:35">
      <c r="A120" s="15"/>
      <c r="B120" s="29" t="s">
        <v>368</v>
      </c>
      <c r="C120" s="336">
        <v>0</v>
      </c>
      <c r="D120" s="11">
        <v>0</v>
      </c>
      <c r="E120" s="11">
        <v>0</v>
      </c>
      <c r="F120" s="337">
        <v>715.63</v>
      </c>
      <c r="G120" s="138">
        <v>95.05</v>
      </c>
      <c r="H120" s="138">
        <v>107.78</v>
      </c>
      <c r="I120" s="138">
        <v>775.8</v>
      </c>
      <c r="J120" s="170">
        <f>SUM(G120:I120)/9*2+AA120</f>
        <v>387.32333333333327</v>
      </c>
      <c r="K120" s="366">
        <f>SUM(C120:F120)</f>
        <v>715.63</v>
      </c>
      <c r="L120" s="138">
        <f>SUM(G120:J120)</f>
        <v>1365.9533333333331</v>
      </c>
      <c r="M120" s="138"/>
      <c r="N120" s="404"/>
      <c r="O120" s="371">
        <f>L120-K120</f>
        <v>650.32333333333315</v>
      </c>
      <c r="P120" s="178">
        <f>L120-M120</f>
        <v>1365.9533333333331</v>
      </c>
      <c r="Q120" s="372">
        <f>L120-N120</f>
        <v>1365.9533333333331</v>
      </c>
      <c r="S120" s="385">
        <f>K120/K$31</f>
        <v>8.7475845681230489E-4</v>
      </c>
      <c r="T120" s="290">
        <f>L120/L$31</f>
        <v>1.2743321521164355E-3</v>
      </c>
      <c r="U120" s="386">
        <f>N120/N$31</f>
        <v>0</v>
      </c>
      <c r="V120" s="264"/>
      <c r="W120" s="126" t="s">
        <v>368</v>
      </c>
      <c r="X120" s="138">
        <v>715.63</v>
      </c>
      <c r="Y120" s="138">
        <v>1148.48</v>
      </c>
      <c r="Z120" s="138">
        <f t="shared" si="159"/>
        <v>978.63</v>
      </c>
      <c r="AA120" s="138">
        <v>169.85</v>
      </c>
      <c r="AB120" s="179">
        <f>C120/C$31</f>
        <v>0</v>
      </c>
      <c r="AC120" s="179">
        <f>D120/D$31</f>
        <v>0</v>
      </c>
      <c r="AD120" s="179">
        <f>E120/E$31</f>
        <v>0</v>
      </c>
      <c r="AE120" s="179">
        <f>F120/F$31</f>
        <v>3.7261553109519644E-3</v>
      </c>
      <c r="AF120" s="179">
        <f>G120/G$31</f>
        <v>1.1713091008930291E-3</v>
      </c>
      <c r="AG120" s="179">
        <f>H120/H$31</f>
        <v>4.3921669626563931E-4</v>
      </c>
      <c r="AH120" s="179">
        <f>I120/I$31</f>
        <v>1.3902067549963445E-3</v>
      </c>
      <c r="AI120" s="179">
        <f>J120/J$31</f>
        <v>2.0678087957105204E-3</v>
      </c>
    </row>
    <row r="121" spans="1:35">
      <c r="A121" s="15"/>
      <c r="B121" s="29" t="s">
        <v>369</v>
      </c>
      <c r="C121" s="336">
        <v>0</v>
      </c>
      <c r="D121" s="11">
        <v>500</v>
      </c>
      <c r="E121" s="11">
        <v>0</v>
      </c>
      <c r="F121" s="337">
        <v>0</v>
      </c>
      <c r="G121" s="138">
        <v>0</v>
      </c>
      <c r="H121" s="138">
        <v>0</v>
      </c>
      <c r="I121" s="138">
        <v>280</v>
      </c>
      <c r="J121" s="170">
        <f>SUM(G121:I121)/9*2+AA121</f>
        <v>62.222222222222221</v>
      </c>
      <c r="K121" s="366">
        <f>SUM(C121:F121)</f>
        <v>500</v>
      </c>
      <c r="L121" s="138">
        <f>SUM(G121:J121)</f>
        <v>342.22222222222223</v>
      </c>
      <c r="M121" s="138"/>
      <c r="N121" s="404"/>
      <c r="O121" s="371">
        <f>L121-K121</f>
        <v>-157.77777777777777</v>
      </c>
      <c r="P121" s="178">
        <f>L121-M121</f>
        <v>342.22222222222223</v>
      </c>
      <c r="Q121" s="372">
        <f>L121-N121</f>
        <v>342.22222222222223</v>
      </c>
      <c r="S121" s="385">
        <f>K121/K$31</f>
        <v>6.1118067773311964E-4</v>
      </c>
      <c r="T121" s="290">
        <f>L121/L$31</f>
        <v>3.1926770139525034E-4</v>
      </c>
      <c r="U121" s="386">
        <f>N121/N$31</f>
        <v>0</v>
      </c>
      <c r="V121" s="264"/>
      <c r="W121" s="126" t="s">
        <v>369</v>
      </c>
      <c r="X121" s="138">
        <v>500</v>
      </c>
      <c r="Y121" s="138">
        <v>280</v>
      </c>
      <c r="Z121" s="138">
        <f t="shared" si="159"/>
        <v>280</v>
      </c>
      <c r="AA121" s="138">
        <v>0</v>
      </c>
      <c r="AB121" s="179">
        <f>C121/C$31</f>
        <v>0</v>
      </c>
      <c r="AC121" s="179">
        <f>D121/D$31</f>
        <v>2.5495800255294545E-3</v>
      </c>
      <c r="AD121" s="179">
        <f>E121/E$31</f>
        <v>0</v>
      </c>
      <c r="AE121" s="179">
        <f>F121/F$31</f>
        <v>0</v>
      </c>
      <c r="AF121" s="179">
        <f>G121/G$31</f>
        <v>0</v>
      </c>
      <c r="AG121" s="179">
        <f>H121/H$31</f>
        <v>0</v>
      </c>
      <c r="AH121" s="179">
        <f>I121/I$31</f>
        <v>5.0175031116135149E-4</v>
      </c>
      <c r="AI121" s="179">
        <f>J121/J$31</f>
        <v>3.3218669604146166E-4</v>
      </c>
    </row>
    <row r="122" spans="1:35" s="3" customFormat="1">
      <c r="A122" s="65" t="s">
        <v>370</v>
      </c>
      <c r="B122" s="112"/>
      <c r="C122" s="338">
        <f>SUM(C114:C121)</f>
        <v>307.5</v>
      </c>
      <c r="D122" s="180">
        <f t="shared" ref="D122:F122" si="160">SUM(D114:D121)</f>
        <v>5561.27</v>
      </c>
      <c r="E122" s="180">
        <f t="shared" si="160"/>
        <v>23697.879999999997</v>
      </c>
      <c r="F122" s="339">
        <f t="shared" si="160"/>
        <v>12846.58</v>
      </c>
      <c r="G122" s="180">
        <f t="shared" ref="G122:J122" si="161">SUM(G114:G121)</f>
        <v>4318.5</v>
      </c>
      <c r="H122" s="180">
        <f t="shared" si="161"/>
        <v>6789.4099999999989</v>
      </c>
      <c r="I122" s="180">
        <f t="shared" si="161"/>
        <v>28108.989999999998</v>
      </c>
      <c r="J122" s="309">
        <f t="shared" si="161"/>
        <v>16022.856666666668</v>
      </c>
      <c r="K122" s="338">
        <f t="shared" ref="K122" si="162">SUM(K114:K121)</f>
        <v>42413.229999999996</v>
      </c>
      <c r="L122" s="140">
        <f t="shared" ref="L122" si="163">SUM(L114:L121)</f>
        <v>55239.756666666653</v>
      </c>
      <c r="M122" s="140">
        <f t="shared" ref="M122" si="164">SUM(M114:M121)</f>
        <v>59650</v>
      </c>
      <c r="N122" s="341">
        <f t="shared" ref="N122" si="165">SUM(N114:N121)</f>
        <v>0</v>
      </c>
      <c r="O122" s="338">
        <f t="shared" ref="O122" si="166">SUM(O114:O121)</f>
        <v>12826.526666666663</v>
      </c>
      <c r="P122" s="180">
        <f t="shared" ref="P122" si="167">SUM(P114:P121)</f>
        <v>-4410.2433333333338</v>
      </c>
      <c r="Q122" s="339">
        <f t="shared" ref="Q122" si="168">SUM(Q114:Q121)</f>
        <v>55239.756666666653</v>
      </c>
      <c r="R122"/>
      <c r="S122" s="387">
        <f>K122/K$31</f>
        <v>5.1844293312501358E-2</v>
      </c>
      <c r="T122" s="291">
        <f>L122/L$31</f>
        <v>5.1534555593959926E-2</v>
      </c>
      <c r="U122" s="388">
        <f>N122/N$31</f>
        <v>0</v>
      </c>
      <c r="V122" s="265"/>
      <c r="W122" s="173" t="s">
        <v>370</v>
      </c>
      <c r="X122" s="140">
        <f t="shared" ref="X122" si="169">SUM(X114:X121)</f>
        <v>42413.229999999989</v>
      </c>
      <c r="Y122" s="140">
        <f t="shared" ref="Y122" si="170">SUM(Y114:Y121)</f>
        <v>46524.89</v>
      </c>
      <c r="Z122" s="140">
        <f t="shared" ref="Z122" si="171">SUM(Z114:Z121)</f>
        <v>39216.9</v>
      </c>
      <c r="AA122" s="140">
        <f t="shared" ref="AA122" si="172">SUM(AA114:AA121)</f>
        <v>7307.9900000000007</v>
      </c>
      <c r="AB122" s="182">
        <f>C122/C$31</f>
        <v>3.2653430505694917E-3</v>
      </c>
      <c r="AC122" s="182">
        <f>D122/D$31</f>
        <v>2.835780581715238E-2</v>
      </c>
      <c r="AD122" s="182">
        <f>E122/E$31</f>
        <v>7.0581651989532243E-2</v>
      </c>
      <c r="AE122" s="182">
        <f>F122/F$31</f>
        <v>6.6889806596382606E-2</v>
      </c>
      <c r="AF122" s="182">
        <f>G122/G$31</f>
        <v>5.3217236740731685E-2</v>
      </c>
      <c r="AG122" s="182">
        <f>H122/H$31</f>
        <v>2.7667677025356222E-2</v>
      </c>
      <c r="AH122" s="182">
        <f>I122/I$31</f>
        <v>5.0370337424754698E-2</v>
      </c>
      <c r="AI122" s="182">
        <f>J122/J$31</f>
        <v>8.5541461348594944E-2</v>
      </c>
    </row>
    <row r="123" spans="1:35" s="3" customFormat="1">
      <c r="A123" s="65"/>
      <c r="B123" s="112"/>
      <c r="C123" s="338"/>
      <c r="D123" s="180"/>
      <c r="E123" s="180"/>
      <c r="F123" s="339"/>
      <c r="G123" s="140"/>
      <c r="H123" s="140"/>
      <c r="I123" s="140"/>
      <c r="J123" s="309"/>
      <c r="K123" s="367"/>
      <c r="L123" s="140"/>
      <c r="M123" s="140"/>
      <c r="N123" s="341"/>
      <c r="O123" s="373"/>
      <c r="P123" s="181"/>
      <c r="Q123" s="374"/>
      <c r="R123"/>
      <c r="S123" s="387"/>
      <c r="T123" s="291"/>
      <c r="U123" s="388"/>
      <c r="V123" s="265"/>
      <c r="W123" s="173"/>
      <c r="X123" s="274"/>
      <c r="Y123" s="274"/>
      <c r="Z123" s="274"/>
      <c r="AA123" s="274"/>
      <c r="AB123" s="182"/>
      <c r="AC123" s="182"/>
      <c r="AD123" s="182"/>
      <c r="AE123" s="182"/>
      <c r="AF123" s="182"/>
      <c r="AG123" s="182"/>
      <c r="AH123" s="182"/>
      <c r="AI123" s="182"/>
    </row>
    <row r="124" spans="1:35" s="3" customFormat="1">
      <c r="A124" s="65" t="s">
        <v>371</v>
      </c>
      <c r="B124" s="112"/>
      <c r="C124" s="338"/>
      <c r="D124" s="180"/>
      <c r="E124" s="180"/>
      <c r="F124" s="339"/>
      <c r="G124" s="140"/>
      <c r="H124" s="140"/>
      <c r="I124" s="140"/>
      <c r="J124" s="309"/>
      <c r="K124" s="367"/>
      <c r="L124" s="140"/>
      <c r="M124" s="140"/>
      <c r="N124" s="341"/>
      <c r="O124" s="373"/>
      <c r="P124" s="181"/>
      <c r="Q124" s="374"/>
      <c r="R124"/>
      <c r="S124" s="387"/>
      <c r="T124" s="291"/>
      <c r="U124" s="388"/>
      <c r="V124" s="265"/>
      <c r="W124" s="173" t="s">
        <v>371</v>
      </c>
      <c r="X124" s="138"/>
      <c r="Y124" s="138"/>
      <c r="Z124" s="138"/>
      <c r="AA124" s="138"/>
      <c r="AB124" s="182"/>
      <c r="AC124" s="182"/>
      <c r="AD124" s="182"/>
      <c r="AE124" s="182"/>
      <c r="AF124" s="182"/>
      <c r="AG124" s="182"/>
      <c r="AH124" s="182"/>
      <c r="AI124" s="182"/>
    </row>
    <row r="125" spans="1:35">
      <c r="A125" s="15"/>
      <c r="B125" s="29" t="s">
        <v>372</v>
      </c>
      <c r="C125" s="336">
        <v>509.81</v>
      </c>
      <c r="D125" s="11">
        <v>8319.35</v>
      </c>
      <c r="E125" s="11">
        <v>4163</v>
      </c>
      <c r="F125" s="337">
        <v>8511.01</v>
      </c>
      <c r="G125" s="138">
        <v>3432.03</v>
      </c>
      <c r="H125" s="138">
        <v>371.6</v>
      </c>
      <c r="I125" s="138">
        <v>10799.52</v>
      </c>
      <c r="J125" s="170">
        <f>SUM(G125:I125)/9*2+AA125</f>
        <v>6983.2044444444446</v>
      </c>
      <c r="K125" s="366">
        <f>SUM(C125:F125)</f>
        <v>21503.17</v>
      </c>
      <c r="L125" s="138">
        <f>SUM(G125:J125)</f>
        <v>21586.354444444445</v>
      </c>
      <c r="M125" s="138">
        <v>20000</v>
      </c>
      <c r="N125" s="404"/>
      <c r="O125" s="371">
        <f>L125-K125</f>
        <v>83.184444444446854</v>
      </c>
      <c r="P125" s="178">
        <f>L125-M125</f>
        <v>1586.3544444444451</v>
      </c>
      <c r="Q125" s="372">
        <f>L125-N125</f>
        <v>21586.354444444445</v>
      </c>
      <c r="S125" s="385">
        <f>K125/K$31</f>
        <v>2.628464402802097E-2</v>
      </c>
      <c r="T125" s="290">
        <f>L125/L$31</f>
        <v>2.0138451910658547E-2</v>
      </c>
      <c r="U125" s="386">
        <f>N125/N$31</f>
        <v>0</v>
      </c>
      <c r="V125" s="264"/>
      <c r="W125" s="126" t="s">
        <v>372</v>
      </c>
      <c r="X125" s="138">
        <v>21503.17</v>
      </c>
      <c r="Y125" s="138">
        <v>18341.21</v>
      </c>
      <c r="Z125" s="138">
        <f>Y125-AA125</f>
        <v>14603.15</v>
      </c>
      <c r="AA125" s="138">
        <v>3738.06</v>
      </c>
      <c r="AB125" s="179">
        <f>C125/C$31</f>
        <v>5.4136733027994556E-3</v>
      </c>
      <c r="AC125" s="179">
        <f>D125/D$31</f>
        <v>4.2421697170776936E-2</v>
      </c>
      <c r="AD125" s="179">
        <f>E125/E$31</f>
        <v>1.2399059208352086E-2</v>
      </c>
      <c r="AE125" s="179">
        <f>F125/F$31</f>
        <v>4.431528179794765E-2</v>
      </c>
      <c r="AF125" s="179">
        <f>G125/G$31</f>
        <v>4.2293192777884306E-2</v>
      </c>
      <c r="AG125" s="179">
        <f>H125/H$31</f>
        <v>1.5143154976091258E-3</v>
      </c>
      <c r="AH125" s="179">
        <f>I125/I$31</f>
        <v>1.9352366144261567E-2</v>
      </c>
      <c r="AI125" s="179">
        <f>J125/J$31</f>
        <v>3.7281336624354386E-2</v>
      </c>
    </row>
    <row r="126" spans="1:35">
      <c r="A126" s="15"/>
      <c r="B126" s="29" t="s">
        <v>373</v>
      </c>
      <c r="C126" s="336">
        <v>150</v>
      </c>
      <c r="D126" s="11">
        <v>1687.5</v>
      </c>
      <c r="E126" s="11">
        <v>2033.5</v>
      </c>
      <c r="F126" s="337">
        <v>0</v>
      </c>
      <c r="G126" s="138">
        <v>0</v>
      </c>
      <c r="H126" s="138">
        <v>0</v>
      </c>
      <c r="I126" s="138">
        <v>0</v>
      </c>
      <c r="J126" s="170">
        <f>SUM(G126:I126)/9*2+AA126</f>
        <v>0</v>
      </c>
      <c r="K126" s="366">
        <f>SUM(C126:F126)</f>
        <v>3871</v>
      </c>
      <c r="L126" s="138">
        <f>SUM(G126:J126)</f>
        <v>0</v>
      </c>
      <c r="M126" s="138"/>
      <c r="N126" s="404"/>
      <c r="O126" s="371">
        <f>L126-K126</f>
        <v>-3871</v>
      </c>
      <c r="P126" s="178">
        <f>L126-M126</f>
        <v>0</v>
      </c>
      <c r="Q126" s="372">
        <f>L126-N126</f>
        <v>0</v>
      </c>
      <c r="S126" s="385">
        <f>K126/K$31</f>
        <v>4.7317608070098121E-3</v>
      </c>
      <c r="T126" s="290">
        <f>L126/L$31</f>
        <v>0</v>
      </c>
      <c r="U126" s="386">
        <f>N126/N$31</f>
        <v>0</v>
      </c>
      <c r="V126" s="264"/>
      <c r="W126" s="126" t="s">
        <v>373</v>
      </c>
      <c r="X126" s="138">
        <v>3871</v>
      </c>
      <c r="Y126" s="138">
        <v>0</v>
      </c>
      <c r="Z126" s="138">
        <f>Y126-AA126</f>
        <v>0</v>
      </c>
      <c r="AA126" s="138">
        <v>0</v>
      </c>
      <c r="AB126" s="179">
        <f>C126/C$31</f>
        <v>1.5928502685704838E-3</v>
      </c>
      <c r="AC126" s="179">
        <f>D126/D$31</f>
        <v>8.6048325861619087E-3</v>
      </c>
      <c r="AD126" s="179">
        <f>E126/E$31</f>
        <v>6.0565666346826729E-3</v>
      </c>
      <c r="AE126" s="179">
        <f>F126/F$31</f>
        <v>0</v>
      </c>
      <c r="AF126" s="179">
        <f>G126/G$31</f>
        <v>0</v>
      </c>
      <c r="AG126" s="179">
        <f>H126/H$31</f>
        <v>0</v>
      </c>
      <c r="AH126" s="179">
        <f>I126/I$31</f>
        <v>0</v>
      </c>
      <c r="AI126" s="179">
        <f>J126/J$31</f>
        <v>0</v>
      </c>
    </row>
    <row r="127" spans="1:35">
      <c r="A127" s="15"/>
      <c r="B127" s="29" t="s">
        <v>374</v>
      </c>
      <c r="C127" s="336">
        <v>0</v>
      </c>
      <c r="D127" s="11">
        <v>966.5</v>
      </c>
      <c r="E127" s="11">
        <v>0</v>
      </c>
      <c r="F127" s="337">
        <v>0</v>
      </c>
      <c r="G127" s="138">
        <v>0</v>
      </c>
      <c r="H127" s="138">
        <v>15000</v>
      </c>
      <c r="I127" s="138">
        <v>0</v>
      </c>
      <c r="J127" s="170">
        <f>SUM(G127:I127)/9*2+AA127</f>
        <v>3333.3333333333335</v>
      </c>
      <c r="K127" s="366">
        <f>SUM(C127:F127)</f>
        <v>966.5</v>
      </c>
      <c r="L127" s="138">
        <f>SUM(G127:J127)</f>
        <v>18333.333333333332</v>
      </c>
      <c r="M127" s="138">
        <v>15000</v>
      </c>
      <c r="N127" s="404"/>
      <c r="O127" s="371">
        <f>L127-K127</f>
        <v>17366.833333333332</v>
      </c>
      <c r="P127" s="178">
        <f>L127-M127</f>
        <v>3333.3333333333321</v>
      </c>
      <c r="Q127" s="372">
        <f>L127-N127</f>
        <v>18333.333333333332</v>
      </c>
      <c r="S127" s="385">
        <f>K127/K$31</f>
        <v>1.1814122500581202E-3</v>
      </c>
      <c r="T127" s="290">
        <f>L127/L$31</f>
        <v>1.7103626860459839E-2</v>
      </c>
      <c r="U127" s="386">
        <f>N127/N$31</f>
        <v>0</v>
      </c>
      <c r="V127" s="264"/>
      <c r="W127" s="126" t="s">
        <v>374</v>
      </c>
      <c r="X127" s="138">
        <v>966.5</v>
      </c>
      <c r="Y127" s="138">
        <v>15000</v>
      </c>
      <c r="Z127" s="138">
        <f>Y127-AA127</f>
        <v>15000</v>
      </c>
      <c r="AA127" s="138">
        <v>0</v>
      </c>
      <c r="AB127" s="179">
        <f>C127/C$31</f>
        <v>0</v>
      </c>
      <c r="AC127" s="179">
        <f>D127/D$31</f>
        <v>4.9283381893484354E-3</v>
      </c>
      <c r="AD127" s="179">
        <f>E127/E$31</f>
        <v>0</v>
      </c>
      <c r="AE127" s="179">
        <f>F127/F$31</f>
        <v>0</v>
      </c>
      <c r="AF127" s="179">
        <f>G127/G$31</f>
        <v>0</v>
      </c>
      <c r="AG127" s="179">
        <f>H127/H$31</f>
        <v>6.1126836555804323E-2</v>
      </c>
      <c r="AH127" s="179">
        <f>I127/I$31</f>
        <v>0</v>
      </c>
      <c r="AI127" s="179">
        <f>J127/J$31</f>
        <v>1.7795715859364018E-2</v>
      </c>
    </row>
    <row r="128" spans="1:35" s="3" customFormat="1">
      <c r="A128" s="65" t="s">
        <v>375</v>
      </c>
      <c r="B128" s="112"/>
      <c r="C128" s="338">
        <f>SUM(C125:C127)</f>
        <v>659.81</v>
      </c>
      <c r="D128" s="180">
        <f t="shared" ref="D128:F128" si="173">SUM(D125:D127)</f>
        <v>10973.35</v>
      </c>
      <c r="E128" s="180">
        <f t="shared" si="173"/>
        <v>6196.5</v>
      </c>
      <c r="F128" s="339">
        <f t="shared" si="173"/>
        <v>8511.01</v>
      </c>
      <c r="G128" s="180">
        <f>SUM(G125:G127)</f>
        <v>3432.03</v>
      </c>
      <c r="H128" s="180">
        <f t="shared" ref="H128" si="174">SUM(H125:H127)</f>
        <v>15371.6</v>
      </c>
      <c r="I128" s="180">
        <f t="shared" ref="I128" si="175">SUM(I125:I127)</f>
        <v>10799.52</v>
      </c>
      <c r="J128" s="309">
        <f t="shared" ref="J128" si="176">SUM(J125:J127)</f>
        <v>10316.537777777778</v>
      </c>
      <c r="K128" s="338">
        <f t="shared" ref="K128" si="177">SUM(K125:K127)</f>
        <v>26340.67</v>
      </c>
      <c r="L128" s="140">
        <f t="shared" ref="L128" si="178">SUM(L125:L127)</f>
        <v>39919.687777777777</v>
      </c>
      <c r="M128" s="140">
        <f t="shared" ref="M128" si="179">SUM(M125:M127)</f>
        <v>35000</v>
      </c>
      <c r="N128" s="341">
        <f t="shared" ref="N128" si="180">SUM(N125:N127)</f>
        <v>0</v>
      </c>
      <c r="O128" s="338">
        <f t="shared" ref="O128" si="181">SUM(O125:O127)</f>
        <v>13579.017777777779</v>
      </c>
      <c r="P128" s="180">
        <f t="shared" ref="P128" si="182">SUM(P125:P127)</f>
        <v>4919.6877777777772</v>
      </c>
      <c r="Q128" s="339">
        <f t="shared" ref="Q128" si="183">SUM(Q125:Q127)</f>
        <v>39919.687777777777</v>
      </c>
      <c r="R128"/>
      <c r="S128" s="387">
        <f>K128/K$31</f>
        <v>3.2197817085088905E-2</v>
      </c>
      <c r="T128" s="291">
        <f>L128/L$31</f>
        <v>3.7242078771118382E-2</v>
      </c>
      <c r="U128" s="388">
        <f>N128/N$31</f>
        <v>0</v>
      </c>
      <c r="V128" s="265"/>
      <c r="W128" s="173" t="s">
        <v>375</v>
      </c>
      <c r="X128" s="140">
        <f t="shared" ref="X128" si="184">SUM(X125:X127)</f>
        <v>26340.67</v>
      </c>
      <c r="Y128" s="140">
        <f t="shared" ref="Y128" si="185">SUM(Y125:Y127)</f>
        <v>33341.21</v>
      </c>
      <c r="Z128" s="140">
        <f t="shared" ref="Z128" si="186">SUM(Z125:Z127)</f>
        <v>29603.15</v>
      </c>
      <c r="AA128" s="140">
        <f t="shared" ref="AA128" si="187">SUM(AA125:AA127)</f>
        <v>3738.06</v>
      </c>
      <c r="AB128" s="182">
        <f>C128/C$31</f>
        <v>7.006523571369939E-3</v>
      </c>
      <c r="AC128" s="182">
        <f>D128/D$31</f>
        <v>5.5954867946287283E-2</v>
      </c>
      <c r="AD128" s="182">
        <f>E128/E$31</f>
        <v>1.845562584303476E-2</v>
      </c>
      <c r="AE128" s="182">
        <f>F128/F$31</f>
        <v>4.431528179794765E-2</v>
      </c>
      <c r="AF128" s="182">
        <f>G128/G$31</f>
        <v>4.2293192777884306E-2</v>
      </c>
      <c r="AG128" s="182">
        <f>H128/H$31</f>
        <v>6.2641152053413446E-2</v>
      </c>
      <c r="AH128" s="182">
        <f>I128/I$31</f>
        <v>1.9352366144261567E-2</v>
      </c>
      <c r="AI128" s="182">
        <f>J128/J$31</f>
        <v>5.50770524837184E-2</v>
      </c>
    </row>
    <row r="129" spans="1:35" s="3" customFormat="1">
      <c r="A129" s="307" t="s">
        <v>382</v>
      </c>
      <c r="B129" s="311"/>
      <c r="C129" s="340">
        <f>C74+C82+C91+C96+C104+C111+C122+C128</f>
        <v>70725.490000000005</v>
      </c>
      <c r="D129" s="310">
        <f>D74+D82+D91+D96+D104+D111+D122+D128</f>
        <v>83217.590000000011</v>
      </c>
      <c r="E129" s="310">
        <f>E74+E82+E91+E96+E104+E111+E122+E128</f>
        <v>142126.59</v>
      </c>
      <c r="F129" s="347">
        <f>F74+F82+F91+F96+F104+F111+F122+F128</f>
        <v>111497.4</v>
      </c>
      <c r="G129" s="308">
        <f>G74+G82+G91+G96+G104+G111+G122+G128</f>
        <v>86350.51</v>
      </c>
      <c r="H129" s="310">
        <f>H74+H82+H91+H96+H104+H111+H122+H128</f>
        <v>100897.43000000001</v>
      </c>
      <c r="I129" s="308">
        <f>I74+I82+I91+I96+I104+I111+I122+I128</f>
        <v>158440.72</v>
      </c>
      <c r="J129" s="309">
        <f>J74+J82+J91+J96+J104+J111+J122+J128</f>
        <v>116324.15222222223</v>
      </c>
      <c r="K129" s="340">
        <f>K74+K82+K91+K96+K104+K111+K122+K128</f>
        <v>407567.06999999995</v>
      </c>
      <c r="L129" s="310">
        <f>L74+L82+L91+L96+L104+L111+L122+L128</f>
        <v>462012.81222222216</v>
      </c>
      <c r="M129" s="310">
        <f>M74+M82+M91+M96+M104+M111+M122+M128</f>
        <v>513500</v>
      </c>
      <c r="N129" s="347">
        <f>N74+N82+N91+N96+N104+N111+N122+N128</f>
        <v>388889.70400000003</v>
      </c>
      <c r="O129" s="340">
        <f>O74+O82+O91+O96+O104+O111+O122+O128</f>
        <v>54445.742222222223</v>
      </c>
      <c r="P129" s="310">
        <f>P74+P82+P91+P96+P104+P111+P122+P128</f>
        <v>-51487.187777777777</v>
      </c>
      <c r="Q129" s="347">
        <f>Q74+Q82+Q91+Q96+Q104+Q111+Q122+Q128</f>
        <v>73123.108222222188</v>
      </c>
      <c r="R129"/>
      <c r="S129" s="389">
        <f>K129/K$31</f>
        <v>0.49819423612860358</v>
      </c>
      <c r="T129" s="312">
        <f>L129/L$31</f>
        <v>0.43102334972730477</v>
      </c>
      <c r="U129" s="390">
        <f>N129/N$31</f>
        <v>0.22953420498437074</v>
      </c>
      <c r="V129" s="265"/>
      <c r="W129" s="173" t="s">
        <v>510</v>
      </c>
      <c r="X129" s="140">
        <f>X74+X82+X91+X96+X104+X111+X122+X128</f>
        <v>407567.06999999995</v>
      </c>
      <c r="Y129" s="140">
        <f t="shared" ref="Y129:AA129" si="188">Y74+Y82+Y91+Y96+Y104+Y111+Y122+Y128</f>
        <v>385193.11000000004</v>
      </c>
      <c r="Z129" s="140">
        <f t="shared" si="188"/>
        <v>345688.66000000009</v>
      </c>
      <c r="AA129" s="140">
        <f t="shared" si="188"/>
        <v>39504.449999999997</v>
      </c>
      <c r="AB129" s="182"/>
      <c r="AC129" s="182"/>
      <c r="AD129" s="182"/>
      <c r="AE129" s="182"/>
      <c r="AF129" s="182"/>
      <c r="AG129" s="182"/>
      <c r="AH129" s="182"/>
      <c r="AI129" s="182"/>
    </row>
    <row r="130" spans="1:35" s="3" customFormat="1">
      <c r="A130" s="65"/>
      <c r="B130" s="112"/>
      <c r="C130" s="338"/>
      <c r="D130" s="180"/>
      <c r="E130" s="180"/>
      <c r="F130" s="339"/>
      <c r="G130" s="180"/>
      <c r="H130" s="180"/>
      <c r="I130" s="180"/>
      <c r="J130" s="309"/>
      <c r="K130" s="338"/>
      <c r="L130" s="140"/>
      <c r="M130" s="140"/>
      <c r="N130" s="341"/>
      <c r="O130" s="338"/>
      <c r="P130" s="180"/>
      <c r="Q130" s="339"/>
      <c r="R130"/>
      <c r="S130" s="387"/>
      <c r="T130" s="291"/>
      <c r="U130" s="388"/>
      <c r="V130" s="265"/>
      <c r="W130" s="173"/>
      <c r="X130" s="140"/>
      <c r="Y130" s="140"/>
      <c r="Z130" s="140"/>
      <c r="AA130" s="140"/>
      <c r="AB130" s="182"/>
      <c r="AC130" s="182"/>
      <c r="AD130" s="182"/>
      <c r="AE130" s="182"/>
      <c r="AF130" s="182"/>
      <c r="AG130" s="182"/>
      <c r="AH130" s="182"/>
      <c r="AI130" s="182"/>
    </row>
    <row r="131" spans="1:35" s="3" customFormat="1">
      <c r="A131" s="307" t="s">
        <v>487</v>
      </c>
      <c r="B131" s="311"/>
      <c r="C131" s="340">
        <f>C65+C129</f>
        <v>94901.96</v>
      </c>
      <c r="D131" s="310">
        <f>D65+D129</f>
        <v>168400.49</v>
      </c>
      <c r="E131" s="310">
        <f>E65+E129</f>
        <v>395659.44999999995</v>
      </c>
      <c r="F131" s="347">
        <f>F65+F129</f>
        <v>141010.66</v>
      </c>
      <c r="G131" s="308">
        <f>G65+G129</f>
        <v>112121.79999999999</v>
      </c>
      <c r="H131" s="310">
        <f>H65+H129</f>
        <v>230445.88</v>
      </c>
      <c r="I131" s="308">
        <f>I65+I129</f>
        <v>461129.43000000005</v>
      </c>
      <c r="J131" s="309">
        <f>J65+J129</f>
        <v>238329.47777777779</v>
      </c>
      <c r="K131" s="340">
        <f>K65+K129</f>
        <v>799972.55999999994</v>
      </c>
      <c r="L131" s="310">
        <f>L65+L129</f>
        <v>1042026.5877777778</v>
      </c>
      <c r="M131" s="310">
        <f>M65+M129</f>
        <v>902861.5</v>
      </c>
      <c r="N131" s="347">
        <f>N65+N129</f>
        <v>943500.58066666673</v>
      </c>
      <c r="O131" s="340">
        <f>O65+O129</f>
        <v>242054.02777777775</v>
      </c>
      <c r="P131" s="310">
        <f>P65+P129</f>
        <v>139165.08777777781</v>
      </c>
      <c r="Q131" s="347">
        <f>Q65+Q129</f>
        <v>98526.007111111074</v>
      </c>
      <c r="R131"/>
      <c r="S131" s="389">
        <f>K131/K$31</f>
        <v>0.97785554277739739</v>
      </c>
      <c r="T131" s="312">
        <f>L131/L$31</f>
        <v>0.97213276014705352</v>
      </c>
      <c r="U131" s="390">
        <f>N131/N$31</f>
        <v>0.55688194739559238</v>
      </c>
      <c r="V131" s="265"/>
      <c r="W131" s="173" t="s">
        <v>487</v>
      </c>
      <c r="X131" s="140">
        <f>X65+X129</f>
        <v>799972.55999999994</v>
      </c>
      <c r="Y131" s="140">
        <f t="shared" ref="Y131:AA131" si="189">Y65+Y129</f>
        <v>863427.23</v>
      </c>
      <c r="Z131" s="140">
        <f t="shared" si="189"/>
        <v>803697.1100000001</v>
      </c>
      <c r="AA131" s="140">
        <f t="shared" si="189"/>
        <v>59730.119999999995</v>
      </c>
      <c r="AB131" s="182"/>
      <c r="AC131" s="182"/>
      <c r="AD131" s="182"/>
      <c r="AE131" s="182"/>
      <c r="AF131" s="182"/>
      <c r="AG131" s="182"/>
      <c r="AH131" s="182"/>
      <c r="AI131" s="182"/>
    </row>
    <row r="132" spans="1:35" s="3" customFormat="1" ht="17" thickBot="1">
      <c r="A132" s="65"/>
      <c r="B132" s="112"/>
      <c r="C132" s="338"/>
      <c r="D132" s="180"/>
      <c r="E132" s="180"/>
      <c r="F132" s="339"/>
      <c r="G132" s="180"/>
      <c r="H132" s="180"/>
      <c r="I132" s="180"/>
      <c r="J132" s="309"/>
      <c r="K132" s="338"/>
      <c r="L132" s="140"/>
      <c r="M132" s="140"/>
      <c r="N132" s="341"/>
      <c r="O132" s="338"/>
      <c r="P132" s="180"/>
      <c r="Q132" s="339"/>
      <c r="R132"/>
      <c r="S132" s="387"/>
      <c r="T132" s="291"/>
      <c r="U132" s="388"/>
      <c r="V132" s="265"/>
      <c r="W132" s="173"/>
      <c r="X132" s="140"/>
      <c r="Y132" s="140"/>
      <c r="Z132" s="140"/>
      <c r="AA132" s="140"/>
      <c r="AB132" s="182"/>
      <c r="AC132" s="182"/>
      <c r="AD132" s="182"/>
      <c r="AE132" s="182"/>
      <c r="AF132" s="182"/>
      <c r="AG132" s="182"/>
      <c r="AH132" s="182"/>
      <c r="AI132" s="182"/>
    </row>
    <row r="133" spans="1:35" s="3" customFormat="1" ht="17" thickBot="1">
      <c r="A133" s="316" t="s">
        <v>488</v>
      </c>
      <c r="B133" s="317"/>
      <c r="C133" s="348">
        <f>C31-C131</f>
        <v>-731.15000000000873</v>
      </c>
      <c r="D133" s="318">
        <f t="shared" ref="D133:F133" si="190">D31-D131</f>
        <v>27710.24000000002</v>
      </c>
      <c r="E133" s="318">
        <f t="shared" si="190"/>
        <v>-59908.169999999925</v>
      </c>
      <c r="F133" s="349">
        <f t="shared" si="190"/>
        <v>51045.209999999992</v>
      </c>
      <c r="G133" s="324">
        <f>G31-G131</f>
        <v>-30973.279999999984</v>
      </c>
      <c r="H133" s="318">
        <f t="shared" ref="H133:Q133" si="191">H31-H131</f>
        <v>14945.51999999999</v>
      </c>
      <c r="I133" s="324">
        <f t="shared" si="191"/>
        <v>96917.059999999939</v>
      </c>
      <c r="J133" s="355">
        <f t="shared" si="191"/>
        <v>-51018.477777777793</v>
      </c>
      <c r="K133" s="348">
        <f t="shared" si="191"/>
        <v>18116.130000000005</v>
      </c>
      <c r="L133" s="318">
        <f t="shared" si="191"/>
        <v>29870.822222222108</v>
      </c>
      <c r="M133" s="318">
        <f t="shared" si="191"/>
        <v>842339.87000000011</v>
      </c>
      <c r="N133" s="349">
        <f t="shared" si="191"/>
        <v>750755.41933333327</v>
      </c>
      <c r="O133" s="348">
        <f t="shared" si="191"/>
        <v>11754.692222222249</v>
      </c>
      <c r="P133" s="318">
        <f t="shared" si="191"/>
        <v>-812469.04777777777</v>
      </c>
      <c r="Q133" s="349">
        <f t="shared" si="191"/>
        <v>523832.58288888901</v>
      </c>
      <c r="R133"/>
      <c r="S133" s="395">
        <f>K133/K$31</f>
        <v>2.2144457222602609E-2</v>
      </c>
      <c r="T133" s="319">
        <f>L133/L$31</f>
        <v>2.7867239852946479E-2</v>
      </c>
      <c r="U133" s="320">
        <f>N133/N$31</f>
        <v>0.44311805260440762</v>
      </c>
      <c r="V133" s="265"/>
      <c r="W133" s="316" t="s">
        <v>488</v>
      </c>
      <c r="X133" s="348">
        <f t="shared" ref="X133:AA133" si="192">X31-X131</f>
        <v>18116.130000000005</v>
      </c>
      <c r="Y133" s="348">
        <f t="shared" si="192"/>
        <v>58014.14000000013</v>
      </c>
      <c r="Z133" s="348">
        <f t="shared" si="192"/>
        <v>80889.299999999814</v>
      </c>
      <c r="AA133" s="348">
        <f t="shared" si="192"/>
        <v>-22875.159999999996</v>
      </c>
      <c r="AB133" s="182"/>
      <c r="AC133" s="182"/>
      <c r="AD133" s="182"/>
      <c r="AE133" s="182"/>
      <c r="AF133" s="182"/>
      <c r="AG133" s="182"/>
      <c r="AH133" s="182"/>
      <c r="AI133" s="182"/>
    </row>
    <row r="134" spans="1:35" s="3" customFormat="1">
      <c r="A134" s="65"/>
      <c r="B134" s="112"/>
      <c r="C134" s="338"/>
      <c r="D134" s="180"/>
      <c r="E134" s="180"/>
      <c r="F134" s="339"/>
      <c r="G134" s="140"/>
      <c r="H134" s="140"/>
      <c r="I134" s="140"/>
      <c r="J134" s="309"/>
      <c r="K134" s="367"/>
      <c r="L134" s="140"/>
      <c r="M134" s="140"/>
      <c r="N134" s="341"/>
      <c r="O134" s="373"/>
      <c r="P134" s="181"/>
      <c r="Q134" s="374"/>
      <c r="R134"/>
      <c r="S134" s="387"/>
      <c r="T134" s="291"/>
      <c r="U134" s="388"/>
      <c r="V134" s="265"/>
      <c r="W134" s="173"/>
      <c r="X134" s="274"/>
      <c r="Y134" s="274"/>
      <c r="Z134" s="274"/>
      <c r="AA134" s="274"/>
      <c r="AB134" s="182"/>
      <c r="AC134" s="182"/>
      <c r="AD134" s="182"/>
      <c r="AE134" s="182"/>
      <c r="AF134" s="182"/>
      <c r="AG134" s="182"/>
      <c r="AH134" s="182"/>
      <c r="AI134" s="182"/>
    </row>
    <row r="135" spans="1:35" s="3" customFormat="1">
      <c r="A135" s="65" t="s">
        <v>298</v>
      </c>
      <c r="B135" s="112"/>
      <c r="C135" s="338"/>
      <c r="D135" s="180"/>
      <c r="E135" s="180"/>
      <c r="F135" s="339"/>
      <c r="G135" s="140"/>
      <c r="H135" s="140"/>
      <c r="I135" s="140"/>
      <c r="J135" s="309"/>
      <c r="K135" s="367"/>
      <c r="L135" s="140"/>
      <c r="M135" s="140"/>
      <c r="N135" s="341"/>
      <c r="O135" s="373"/>
      <c r="P135" s="181"/>
      <c r="Q135" s="374"/>
      <c r="R135"/>
      <c r="S135" s="387"/>
      <c r="T135" s="291"/>
      <c r="U135" s="388"/>
      <c r="V135" s="265"/>
      <c r="W135" s="173" t="s">
        <v>298</v>
      </c>
      <c r="X135" s="138"/>
      <c r="Y135" s="138"/>
      <c r="Z135" s="138"/>
      <c r="AA135" s="138"/>
      <c r="AB135" s="182"/>
      <c r="AC135" s="182"/>
      <c r="AD135" s="182"/>
      <c r="AE135" s="182"/>
      <c r="AF135" s="182"/>
      <c r="AG135" s="182"/>
      <c r="AH135" s="182"/>
      <c r="AI135" s="182"/>
    </row>
    <row r="136" spans="1:35">
      <c r="A136" s="15"/>
      <c r="B136" s="29" t="s">
        <v>299</v>
      </c>
      <c r="C136" s="336">
        <v>0</v>
      </c>
      <c r="D136" s="11">
        <v>0</v>
      </c>
      <c r="E136" s="11">
        <v>0</v>
      </c>
      <c r="F136" s="337">
        <v>338</v>
      </c>
      <c r="G136" s="138">
        <v>0</v>
      </c>
      <c r="H136" s="138">
        <v>0</v>
      </c>
      <c r="I136" s="138">
        <v>0</v>
      </c>
      <c r="J136" s="170">
        <v>0</v>
      </c>
      <c r="K136" s="366">
        <f>SUM(C136:F136)</f>
        <v>338</v>
      </c>
      <c r="L136" s="138">
        <v>0</v>
      </c>
      <c r="M136" s="138">
        <v>0</v>
      </c>
      <c r="N136" s="404">
        <v>0</v>
      </c>
      <c r="O136" s="371">
        <f>L136-K136</f>
        <v>-338</v>
      </c>
      <c r="P136" s="178">
        <f>L136-M136</f>
        <v>0</v>
      </c>
      <c r="Q136" s="372">
        <f>N136-L136</f>
        <v>0</v>
      </c>
      <c r="S136" s="385">
        <f>K136/K$31</f>
        <v>4.1315813814758891E-4</v>
      </c>
      <c r="T136" s="290">
        <f>L136/L$31</f>
        <v>0</v>
      </c>
      <c r="U136" s="386">
        <f>N136/N$31</f>
        <v>0</v>
      </c>
      <c r="V136" s="264"/>
      <c r="W136" s="126" t="s">
        <v>299</v>
      </c>
      <c r="X136" s="138">
        <v>338</v>
      </c>
      <c r="Y136" s="138">
        <v>0</v>
      </c>
      <c r="Z136" s="138">
        <f>Y136-AA136</f>
        <v>0</v>
      </c>
      <c r="AA136" s="138">
        <v>0</v>
      </c>
      <c r="AB136" s="179">
        <f>C136/C$31</f>
        <v>0</v>
      </c>
      <c r="AC136" s="179">
        <f>D136/D$31</f>
        <v>0</v>
      </c>
      <c r="AD136" s="179">
        <f>E136/E$31</f>
        <v>0</v>
      </c>
      <c r="AE136" s="179">
        <f>F136/F$31</f>
        <v>1.7599045527741486E-3</v>
      </c>
      <c r="AF136" s="179">
        <f>G136/G$31</f>
        <v>0</v>
      </c>
      <c r="AG136" s="179">
        <f>H136/H$31</f>
        <v>0</v>
      </c>
      <c r="AH136" s="179">
        <f>I136/I$31</f>
        <v>0</v>
      </c>
      <c r="AI136" s="179">
        <f>J136/J$31</f>
        <v>0</v>
      </c>
    </row>
    <row r="137" spans="1:35" s="3" customFormat="1">
      <c r="A137" s="65" t="s">
        <v>300</v>
      </c>
      <c r="B137" s="112"/>
      <c r="C137" s="338">
        <f>C136</f>
        <v>0</v>
      </c>
      <c r="D137" s="180">
        <f t="shared" ref="D137:F137" si="193">D136</f>
        <v>0</v>
      </c>
      <c r="E137" s="180">
        <f t="shared" si="193"/>
        <v>0</v>
      </c>
      <c r="F137" s="339">
        <f t="shared" si="193"/>
        <v>338</v>
      </c>
      <c r="G137" s="180">
        <f>G136</f>
        <v>0</v>
      </c>
      <c r="H137" s="180">
        <f t="shared" ref="H137" si="194">H136</f>
        <v>0</v>
      </c>
      <c r="I137" s="180">
        <f t="shared" ref="I137" si="195">I136</f>
        <v>0</v>
      </c>
      <c r="J137" s="309">
        <f t="shared" ref="J137" si="196">J136</f>
        <v>0</v>
      </c>
      <c r="K137" s="338">
        <f>K136</f>
        <v>338</v>
      </c>
      <c r="L137" s="140">
        <f t="shared" ref="L137" si="197">L136</f>
        <v>0</v>
      </c>
      <c r="M137" s="140">
        <f t="shared" ref="M137" si="198">M136</f>
        <v>0</v>
      </c>
      <c r="N137" s="341">
        <f t="shared" ref="N137" si="199">N136</f>
        <v>0</v>
      </c>
      <c r="O137" s="338">
        <f t="shared" ref="O137" si="200">O136</f>
        <v>-338</v>
      </c>
      <c r="P137" s="180">
        <f t="shared" ref="P137" si="201">P136</f>
        <v>0</v>
      </c>
      <c r="Q137" s="339">
        <f t="shared" ref="Q137" si="202">Q136</f>
        <v>0</v>
      </c>
      <c r="R137"/>
      <c r="S137" s="387">
        <f>K137/K$31</f>
        <v>4.1315813814758891E-4</v>
      </c>
      <c r="T137" s="291">
        <f>L137/L$31</f>
        <v>0</v>
      </c>
      <c r="U137" s="388">
        <f>N137/N$31</f>
        <v>0</v>
      </c>
      <c r="V137" s="265"/>
      <c r="W137" s="173" t="s">
        <v>300</v>
      </c>
      <c r="X137" s="140">
        <f t="shared" ref="X137" si="203">X136</f>
        <v>338</v>
      </c>
      <c r="Y137" s="140">
        <f t="shared" ref="Y137" si="204">Y136</f>
        <v>0</v>
      </c>
      <c r="Z137" s="140">
        <f t="shared" ref="Z137" si="205">Z136</f>
        <v>0</v>
      </c>
      <c r="AA137" s="140">
        <f t="shared" ref="AA137" si="206">AA136</f>
        <v>0</v>
      </c>
      <c r="AB137" s="182">
        <f>C137/C$31</f>
        <v>0</v>
      </c>
      <c r="AC137" s="182">
        <f>D137/D$31</f>
        <v>0</v>
      </c>
      <c r="AD137" s="182">
        <f>E137/E$31</f>
        <v>0</v>
      </c>
      <c r="AE137" s="182">
        <f>F137/F$31</f>
        <v>1.7599045527741486E-3</v>
      </c>
      <c r="AF137" s="182">
        <f>G137/G$31</f>
        <v>0</v>
      </c>
      <c r="AG137" s="182">
        <f>H137/H$31</f>
        <v>0</v>
      </c>
      <c r="AH137" s="182">
        <f>I137/I$31</f>
        <v>0</v>
      </c>
      <c r="AI137" s="182">
        <f>J137/J$31</f>
        <v>0</v>
      </c>
    </row>
    <row r="138" spans="1:35" s="3" customFormat="1">
      <c r="A138" s="65"/>
      <c r="B138" s="112"/>
      <c r="C138" s="338"/>
      <c r="D138" s="180"/>
      <c r="E138" s="180"/>
      <c r="F138" s="339"/>
      <c r="G138" s="140"/>
      <c r="H138" s="140"/>
      <c r="I138" s="140"/>
      <c r="J138" s="309"/>
      <c r="K138" s="367"/>
      <c r="L138" s="140"/>
      <c r="M138" s="140"/>
      <c r="N138" s="341"/>
      <c r="O138" s="373"/>
      <c r="P138" s="181"/>
      <c r="Q138" s="374"/>
      <c r="R138"/>
      <c r="S138" s="387"/>
      <c r="T138" s="291"/>
      <c r="U138" s="388"/>
      <c r="V138" s="265"/>
      <c r="W138" s="173"/>
      <c r="X138" s="274"/>
      <c r="Y138" s="274"/>
      <c r="Z138" s="274"/>
      <c r="AA138" s="274"/>
      <c r="AB138" s="182"/>
      <c r="AC138" s="182"/>
      <c r="AD138" s="182"/>
      <c r="AE138" s="182"/>
      <c r="AF138" s="182"/>
      <c r="AG138" s="182"/>
      <c r="AH138" s="182"/>
      <c r="AI138" s="182"/>
    </row>
    <row r="139" spans="1:35" s="3" customFormat="1">
      <c r="A139" s="65" t="s">
        <v>376</v>
      </c>
      <c r="B139" s="112"/>
      <c r="C139" s="338"/>
      <c r="D139" s="180"/>
      <c r="E139" s="180"/>
      <c r="F139" s="339"/>
      <c r="G139" s="140"/>
      <c r="H139" s="140"/>
      <c r="I139" s="140"/>
      <c r="J139" s="309"/>
      <c r="K139" s="367"/>
      <c r="L139" s="140"/>
      <c r="M139" s="140"/>
      <c r="N139" s="341"/>
      <c r="O139" s="373"/>
      <c r="P139" s="181"/>
      <c r="Q139" s="374"/>
      <c r="R139"/>
      <c r="S139" s="387"/>
      <c r="T139" s="291"/>
      <c r="U139" s="388"/>
      <c r="V139" s="265"/>
      <c r="W139" s="173" t="s">
        <v>376</v>
      </c>
      <c r="X139" s="138"/>
      <c r="Y139" s="138"/>
      <c r="Z139" s="138"/>
      <c r="AA139" s="138"/>
      <c r="AB139" s="182"/>
      <c r="AC139" s="182"/>
      <c r="AD139" s="182"/>
      <c r="AE139" s="182"/>
      <c r="AF139" s="182"/>
      <c r="AG139" s="182"/>
      <c r="AH139" s="182"/>
      <c r="AI139" s="182"/>
    </row>
    <row r="140" spans="1:35">
      <c r="A140" s="15"/>
      <c r="B140" s="29" t="s">
        <v>377</v>
      </c>
      <c r="C140" s="336">
        <v>0</v>
      </c>
      <c r="D140" s="11">
        <v>0</v>
      </c>
      <c r="E140" s="11">
        <v>0</v>
      </c>
      <c r="F140" s="337">
        <v>229855</v>
      </c>
      <c r="G140" s="138">
        <v>0</v>
      </c>
      <c r="H140" s="138">
        <v>0</v>
      </c>
      <c r="I140" s="138">
        <v>0</v>
      </c>
      <c r="J140" s="398">
        <v>229855</v>
      </c>
      <c r="K140" s="366">
        <f>SUM(C140:F140)</f>
        <v>229855</v>
      </c>
      <c r="L140" s="138">
        <f>SUM(G140:J140)</f>
        <v>229855</v>
      </c>
      <c r="M140" s="138"/>
      <c r="N140" s="404"/>
      <c r="O140" s="371">
        <f>L140-K140</f>
        <v>0</v>
      </c>
      <c r="P140" s="178">
        <f>L140-M140</f>
        <v>229855</v>
      </c>
      <c r="Q140" s="372">
        <f>L140-N140</f>
        <v>229855</v>
      </c>
      <c r="S140" s="385">
        <f>K140/K$31</f>
        <v>0.28096586936069246</v>
      </c>
      <c r="T140" s="290">
        <f>L140/L$31</f>
        <v>0.21443749920059982</v>
      </c>
      <c r="U140" s="386">
        <f>N140/N$31</f>
        <v>0</v>
      </c>
      <c r="V140" s="264"/>
      <c r="W140" s="126" t="s">
        <v>377</v>
      </c>
      <c r="X140" s="138">
        <v>229855</v>
      </c>
      <c r="Y140" s="138">
        <v>0</v>
      </c>
      <c r="Z140" s="138">
        <f>Y140-AA140</f>
        <v>0</v>
      </c>
      <c r="AA140" s="138">
        <v>0</v>
      </c>
      <c r="AB140" s="179">
        <f>C140/C$31</f>
        <v>0</v>
      </c>
      <c r="AC140" s="179">
        <f>D140/D$31</f>
        <v>0</v>
      </c>
      <c r="AD140" s="179">
        <f>E140/E$31</f>
        <v>0</v>
      </c>
      <c r="AE140" s="179">
        <f>F140/F$31</f>
        <v>1.1968131981594732</v>
      </c>
      <c r="AF140" s="179">
        <f>G140/G$31</f>
        <v>0</v>
      </c>
      <c r="AG140" s="179">
        <f>H140/H$31</f>
        <v>0</v>
      </c>
      <c r="AH140" s="179">
        <f>I140/I$31</f>
        <v>0</v>
      </c>
      <c r="AI140" s="179">
        <f>J140/J$31</f>
        <v>1.2271302806562348</v>
      </c>
    </row>
    <row r="141" spans="1:35">
      <c r="A141" s="15"/>
      <c r="B141" s="29" t="s">
        <v>378</v>
      </c>
      <c r="C141" s="336">
        <v>0</v>
      </c>
      <c r="D141" s="11">
        <v>0</v>
      </c>
      <c r="E141" s="11">
        <v>49507.78</v>
      </c>
      <c r="F141" s="337">
        <v>194526.63</v>
      </c>
      <c r="G141" s="138">
        <v>47545.13</v>
      </c>
      <c r="H141" s="138">
        <v>31967.69</v>
      </c>
      <c r="I141" s="138">
        <v>75981.350000000006</v>
      </c>
      <c r="J141" s="170">
        <f>SUM(G141:I141)/9*2+AA141</f>
        <v>53935.679999999993</v>
      </c>
      <c r="K141" s="366">
        <f>SUM(C141:F141)</f>
        <v>244034.41</v>
      </c>
      <c r="L141" s="138">
        <f>SUM(G141:J141)</f>
        <v>209429.84999999998</v>
      </c>
      <c r="M141" s="138"/>
      <c r="N141" s="404"/>
      <c r="O141" s="371">
        <f>L141-K141</f>
        <v>-34604.560000000027</v>
      </c>
      <c r="P141" s="178">
        <f>L141-M141</f>
        <v>209429.84999999998</v>
      </c>
      <c r="Q141" s="372">
        <f>L141-N141</f>
        <v>209429.84999999998</v>
      </c>
      <c r="S141" s="385">
        <f>K141/K$31</f>
        <v>0.298298232188004</v>
      </c>
      <c r="T141" s="290">
        <f>L141/L$31</f>
        <v>0.19538236406411319</v>
      </c>
      <c r="U141" s="386">
        <f>N141/N$31</f>
        <v>0</v>
      </c>
      <c r="V141" s="264"/>
      <c r="W141" s="126" t="s">
        <v>378</v>
      </c>
      <c r="X141" s="138">
        <v>244034.41</v>
      </c>
      <c r="Y141" s="138">
        <v>174875.59</v>
      </c>
      <c r="Z141" s="138">
        <f>Y141-AA141</f>
        <v>155494.16999999998</v>
      </c>
      <c r="AA141" s="138">
        <v>19381.419999999998</v>
      </c>
      <c r="AB141" s="179">
        <f>C141/C$31</f>
        <v>0</v>
      </c>
      <c r="AC141" s="179">
        <f>D141/D$31</f>
        <v>0</v>
      </c>
      <c r="AD141" s="179">
        <f>E141/E$31</f>
        <v>0.14745373420467672</v>
      </c>
      <c r="AE141" s="179">
        <f>F141/F$31</f>
        <v>1.012864798144415</v>
      </c>
      <c r="AF141" s="179">
        <f>G141/G$31</f>
        <v>0.58590261412038069</v>
      </c>
      <c r="AG141" s="179">
        <f>H141/H$31</f>
        <v>0.13027225077977467</v>
      </c>
      <c r="AH141" s="179">
        <f>I141/I$31</f>
        <v>0.13615595001771269</v>
      </c>
      <c r="AI141" s="179">
        <f>J141/J$31</f>
        <v>0.28794721078847474</v>
      </c>
    </row>
    <row r="142" spans="1:35">
      <c r="A142" s="306"/>
      <c r="B142" s="304" t="s">
        <v>379</v>
      </c>
      <c r="C142" s="454">
        <v>0</v>
      </c>
      <c r="D142" s="313">
        <v>0</v>
      </c>
      <c r="E142" s="313">
        <v>0</v>
      </c>
      <c r="F142" s="408">
        <v>-216938.05</v>
      </c>
      <c r="G142" s="313">
        <v>0</v>
      </c>
      <c r="H142" s="313">
        <v>0</v>
      </c>
      <c r="I142" s="313">
        <v>0</v>
      </c>
      <c r="J142" s="305">
        <f>SUM(G142:I142)/9*2+AA142</f>
        <v>0</v>
      </c>
      <c r="K142" s="454">
        <f>SUM(C142:F142)</f>
        <v>-216938.05</v>
      </c>
      <c r="L142" s="313">
        <f>SUM(G142:J142)</f>
        <v>0</v>
      </c>
      <c r="M142" s="313"/>
      <c r="N142" s="408"/>
      <c r="O142" s="455">
        <f>L142-K142</f>
        <v>216938.05</v>
      </c>
      <c r="P142" s="314">
        <f>L142-M142</f>
        <v>0</v>
      </c>
      <c r="Q142" s="456">
        <f>L142-N142</f>
        <v>0</v>
      </c>
      <c r="R142" s="303"/>
      <c r="S142" s="457">
        <f>K142/K$31</f>
        <v>-0.26517668885020279</v>
      </c>
      <c r="T142" s="315">
        <f>L142/L$31</f>
        <v>0</v>
      </c>
      <c r="U142" s="458">
        <f>N142/N$31</f>
        <v>0</v>
      </c>
      <c r="V142" s="264"/>
      <c r="W142" s="126" t="s">
        <v>379</v>
      </c>
      <c r="X142" s="138">
        <v>-216938.05</v>
      </c>
      <c r="Y142" s="138">
        <v>0</v>
      </c>
      <c r="Z142" s="138">
        <f>Y142-AA142</f>
        <v>0</v>
      </c>
      <c r="AA142" s="138">
        <v>0</v>
      </c>
      <c r="AB142" s="179">
        <f>C142/C$31</f>
        <v>0</v>
      </c>
      <c r="AC142" s="179">
        <f>D142/D$31</f>
        <v>0</v>
      </c>
      <c r="AD142" s="179">
        <f>E142/E$31</f>
        <v>0</v>
      </c>
      <c r="AE142" s="179">
        <f>F142/F$31</f>
        <v>-1.129556987766112</v>
      </c>
      <c r="AF142" s="179">
        <f>G142/G$31</f>
        <v>0</v>
      </c>
      <c r="AG142" s="179">
        <f>H142/H$31</f>
        <v>0</v>
      </c>
      <c r="AH142" s="179">
        <f>I142/I$31</f>
        <v>0</v>
      </c>
      <c r="AI142" s="179">
        <f>J142/J$31</f>
        <v>0</v>
      </c>
    </row>
    <row r="143" spans="1:35" s="3" customFormat="1">
      <c r="A143" s="65" t="s">
        <v>380</v>
      </c>
      <c r="B143" s="112"/>
      <c r="C143" s="338">
        <f>SUM(C140:C142)</f>
        <v>0</v>
      </c>
      <c r="D143" s="180">
        <f>SUM(D140:D142)</f>
        <v>0</v>
      </c>
      <c r="E143" s="180">
        <f>SUM(E140:E142)</f>
        <v>49507.78</v>
      </c>
      <c r="F143" s="339">
        <f>SUM(F140:F142)</f>
        <v>207443.58000000002</v>
      </c>
      <c r="G143" s="180">
        <f>SUM(G140:G142)</f>
        <v>47545.13</v>
      </c>
      <c r="H143" s="180">
        <f>SUM(H140:H142)</f>
        <v>31967.69</v>
      </c>
      <c r="I143" s="180">
        <f>SUM(I140:I142)</f>
        <v>75981.350000000006</v>
      </c>
      <c r="J143" s="309">
        <f>SUM(J140:J142)</f>
        <v>283790.68</v>
      </c>
      <c r="K143" s="338">
        <f>SUM(K140:K142)</f>
        <v>256951.36000000004</v>
      </c>
      <c r="L143" s="180">
        <f>SUM(L140:L142)</f>
        <v>439284.85</v>
      </c>
      <c r="M143" s="180">
        <f>SUM(M140:M142)</f>
        <v>0</v>
      </c>
      <c r="N143" s="341">
        <f>SUM(N140:N142)</f>
        <v>0</v>
      </c>
      <c r="O143" s="338">
        <f>SUM(O140:O142)</f>
        <v>182333.48999999996</v>
      </c>
      <c r="P143" s="180">
        <f>SUM(P140:P142)</f>
        <v>439284.85</v>
      </c>
      <c r="Q143" s="339">
        <f>SUM(Q140:Q142)</f>
        <v>439284.85</v>
      </c>
      <c r="R143"/>
      <c r="S143" s="387">
        <f>K143/K$31</f>
        <v>0.31408741269849366</v>
      </c>
      <c r="T143" s="290">
        <f>L143/L$31</f>
        <v>0.40981986326471298</v>
      </c>
      <c r="U143" s="388">
        <f>N143/N$31</f>
        <v>0</v>
      </c>
      <c r="V143" s="264"/>
      <c r="W143" s="173" t="s">
        <v>380</v>
      </c>
      <c r="X143" s="180">
        <f>SUM(X140:X142)</f>
        <v>256951.36000000004</v>
      </c>
      <c r="Y143" s="180">
        <f>SUM(Y140:Y142)</f>
        <v>174875.59</v>
      </c>
      <c r="Z143" s="180">
        <f>SUM(Z140:Z142)</f>
        <v>155494.16999999998</v>
      </c>
      <c r="AA143" s="180">
        <f>SUM(AA140:AA142)</f>
        <v>19381.419999999998</v>
      </c>
      <c r="AB143" s="182">
        <f>C143/C$31</f>
        <v>0</v>
      </c>
      <c r="AC143" s="182">
        <f>D143/D$31</f>
        <v>0</v>
      </c>
      <c r="AD143" s="182">
        <f>E143/E$31</f>
        <v>0.14745373420467672</v>
      </c>
      <c r="AE143" s="182">
        <f>F143/F$31</f>
        <v>1.0801210085377762</v>
      </c>
      <c r="AF143" s="182">
        <f>G143/G$31</f>
        <v>0.58590261412038069</v>
      </c>
      <c r="AG143" s="182">
        <f>H143/H$31</f>
        <v>0.13027225077977467</v>
      </c>
      <c r="AH143" s="182">
        <f>I143/I$31</f>
        <v>0.13615595001771269</v>
      </c>
      <c r="AI143" s="182">
        <f>J143/J$31</f>
        <v>1.5150774914447096</v>
      </c>
    </row>
    <row r="144" spans="1:35" s="3" customFormat="1" ht="17" thickBot="1">
      <c r="A144" s="65"/>
      <c r="B144" s="112"/>
      <c r="C144" s="338"/>
      <c r="D144" s="180"/>
      <c r="E144" s="180"/>
      <c r="F144" s="339"/>
      <c r="G144" s="140"/>
      <c r="H144" s="140"/>
      <c r="I144" s="140"/>
      <c r="J144" s="309"/>
      <c r="K144" s="367"/>
      <c r="L144" s="140"/>
      <c r="M144" s="140"/>
      <c r="N144" s="341"/>
      <c r="O144" s="373"/>
      <c r="P144" s="181"/>
      <c r="Q144" s="374"/>
      <c r="R144"/>
      <c r="S144" s="387"/>
      <c r="T144" s="291"/>
      <c r="U144" s="388"/>
      <c r="V144" s="265"/>
      <c r="W144" s="173"/>
      <c r="X144" s="274"/>
      <c r="Y144" s="274"/>
      <c r="Z144" s="274"/>
      <c r="AA144" s="274"/>
      <c r="AB144" s="182"/>
      <c r="AC144" s="182"/>
      <c r="AD144" s="182"/>
      <c r="AE144" s="182"/>
      <c r="AF144" s="182"/>
      <c r="AG144" s="182"/>
      <c r="AH144" s="182"/>
      <c r="AI144" s="182"/>
    </row>
    <row r="145" spans="1:43" s="3" customFormat="1" ht="17" thickBot="1">
      <c r="A145" s="442" t="s">
        <v>489</v>
      </c>
      <c r="B145" s="443"/>
      <c r="C145" s="444">
        <f>C133-C143+C137</f>
        <v>-731.15000000000873</v>
      </c>
      <c r="D145" s="445">
        <f t="shared" ref="D145:Q145" si="207">D133-D143+D137</f>
        <v>27710.24000000002</v>
      </c>
      <c r="E145" s="445">
        <f t="shared" si="207"/>
        <v>-109415.94999999992</v>
      </c>
      <c r="F145" s="446">
        <f t="shared" si="207"/>
        <v>-156060.37000000002</v>
      </c>
      <c r="G145" s="444">
        <f>G133-G143+G137</f>
        <v>-78518.409999999974</v>
      </c>
      <c r="H145" s="445">
        <f t="shared" si="207"/>
        <v>-17022.170000000009</v>
      </c>
      <c r="I145" s="445">
        <f t="shared" si="207"/>
        <v>20935.709999999934</v>
      </c>
      <c r="J145" s="446">
        <f t="shared" si="207"/>
        <v>-334809.15777777776</v>
      </c>
      <c r="K145" s="444">
        <f>K133-K143+K137</f>
        <v>-238497.23000000004</v>
      </c>
      <c r="L145" s="445">
        <f t="shared" si="207"/>
        <v>-409414.02777777787</v>
      </c>
      <c r="M145" s="445">
        <f t="shared" si="207"/>
        <v>842339.87000000011</v>
      </c>
      <c r="N145" s="446">
        <f t="shared" si="207"/>
        <v>750755.41933333327</v>
      </c>
      <c r="O145" s="444">
        <f>O133-O143+O137</f>
        <v>-170916.79777777771</v>
      </c>
      <c r="P145" s="445">
        <f t="shared" si="207"/>
        <v>-1251753.8977777776</v>
      </c>
      <c r="Q145" s="445">
        <f t="shared" si="207"/>
        <v>84547.732888889033</v>
      </c>
      <c r="R145" s="447"/>
      <c r="S145" s="448">
        <f>K145/K$31</f>
        <v>-0.29152979733774348</v>
      </c>
      <c r="T145" s="449">
        <f>L145/L$31</f>
        <v>-0.3819526234117665</v>
      </c>
      <c r="U145" s="450">
        <f>N145/N$31</f>
        <v>0.44311805260440762</v>
      </c>
      <c r="V145" s="265"/>
      <c r="W145" s="316" t="s">
        <v>489</v>
      </c>
      <c r="X145" s="444">
        <f>X133-X143+X137</f>
        <v>-238497.23000000004</v>
      </c>
      <c r="Y145" s="445">
        <f t="shared" ref="Y145:Z145" si="208">Y133-Y143+Y137</f>
        <v>-116861.44999999987</v>
      </c>
      <c r="Z145" s="445">
        <f t="shared" si="208"/>
        <v>-74604.87000000017</v>
      </c>
      <c r="AA145" s="445">
        <f t="shared" ref="AA145" si="209">AA133-AA143+AA137</f>
        <v>-42256.579999999994</v>
      </c>
      <c r="AB145" s="182">
        <f>C145/C$31</f>
        <v>-7.7640831591021539E-3</v>
      </c>
      <c r="AC145" s="182">
        <f>D145/D$31</f>
        <v>0.14129894881325472</v>
      </c>
      <c r="AD145" s="182">
        <f>E145/E$31</f>
        <v>-0.32588394004037724</v>
      </c>
      <c r="AE145" s="182">
        <f>F145/F$31</f>
        <v>-0.8125779753568585</v>
      </c>
      <c r="AF145" s="182">
        <f>G145/G$31</f>
        <v>-0.96758893446239036</v>
      </c>
      <c r="AG145" s="182">
        <f>H145/H$31</f>
        <v>-6.9367426894341083E-2</v>
      </c>
      <c r="AH145" s="182">
        <f>I145/I$31</f>
        <v>3.7516067881727802E-2</v>
      </c>
      <c r="AI145" s="182">
        <f>J145/J$31</f>
        <v>-1.7874505916778927</v>
      </c>
    </row>
    <row r="146" spans="1:43" s="3" customFormat="1" ht="17" thickBot="1">
      <c r="A146" s="451" t="s">
        <v>492</v>
      </c>
      <c r="B146" s="452"/>
      <c r="C146" s="348">
        <f>C145+C140</f>
        <v>-731.15000000000873</v>
      </c>
      <c r="D146" s="318">
        <f t="shared" ref="D146:F146" si="210">D145+D140</f>
        <v>27710.24000000002</v>
      </c>
      <c r="E146" s="318">
        <f t="shared" si="210"/>
        <v>-109415.94999999992</v>
      </c>
      <c r="F146" s="349">
        <f t="shared" si="210"/>
        <v>73794.629999999976</v>
      </c>
      <c r="G146" s="324">
        <f>G145+G140</f>
        <v>-78518.409999999974</v>
      </c>
      <c r="H146" s="318">
        <f t="shared" ref="H146" si="211">H145+H140</f>
        <v>-17022.170000000009</v>
      </c>
      <c r="I146" s="324">
        <f t="shared" ref="I146" si="212">I145+I140</f>
        <v>20935.709999999934</v>
      </c>
      <c r="J146" s="355">
        <f t="shared" ref="J146" si="213">J145+J140</f>
        <v>-104954.15777777776</v>
      </c>
      <c r="K146" s="348">
        <f>K145+K140</f>
        <v>-8642.2300000000396</v>
      </c>
      <c r="L146" s="318">
        <f t="shared" ref="L146" si="214">L145+L140</f>
        <v>-179559.02777777787</v>
      </c>
      <c r="M146" s="318">
        <f t="shared" ref="M146" si="215">M145+M140</f>
        <v>842339.87000000011</v>
      </c>
      <c r="N146" s="349">
        <f t="shared" ref="N146" si="216">N145+N140</f>
        <v>750755.41933333327</v>
      </c>
      <c r="O146" s="348">
        <f>O145+O140</f>
        <v>-170916.79777777771</v>
      </c>
      <c r="P146" s="318">
        <f t="shared" ref="P146" si="217">P145+P140</f>
        <v>-1021898.8977777776</v>
      </c>
      <c r="Q146" s="349">
        <f t="shared" ref="Q146" si="218">Q145+Q140</f>
        <v>314402.73288888903</v>
      </c>
      <c r="R146" s="453"/>
      <c r="S146" s="395">
        <f>K146/K$31</f>
        <v>-1.0563927977051047E-2</v>
      </c>
      <c r="T146" s="319">
        <f>L146/L$31</f>
        <v>-0.16751512421116671</v>
      </c>
      <c r="U146" s="320">
        <f>N146/N$31</f>
        <v>0.44311805260440762</v>
      </c>
      <c r="V146" s="265"/>
      <c r="W146" s="451" t="s">
        <v>492</v>
      </c>
      <c r="X146" s="348">
        <f>X145+X140</f>
        <v>-8642.2300000000396</v>
      </c>
      <c r="Y146" s="318">
        <f t="shared" ref="Y146" si="219">Y145+Y140</f>
        <v>-116861.44999999987</v>
      </c>
      <c r="Z146" s="318">
        <f t="shared" ref="Z146:AA146" si="220">Z145+Z140</f>
        <v>-74604.87000000017</v>
      </c>
      <c r="AA146" s="318">
        <f t="shared" si="220"/>
        <v>-42256.579999999994</v>
      </c>
      <c r="AB146" s="182"/>
      <c r="AC146" s="182"/>
      <c r="AD146" s="182"/>
      <c r="AE146" s="182"/>
      <c r="AF146" s="182"/>
      <c r="AG146" s="182"/>
      <c r="AH146" s="182"/>
      <c r="AI146" s="182"/>
    </row>
    <row r="147" spans="1:43" customFormat="1">
      <c r="W147" s="411"/>
      <c r="X147" s="412"/>
      <c r="Y147" s="412"/>
      <c r="Z147" s="412"/>
      <c r="AA147" s="413"/>
    </row>
    <row r="148" spans="1:43" customFormat="1">
      <c r="W148" s="414"/>
      <c r="X148" s="415"/>
      <c r="Y148" s="415"/>
      <c r="Z148" s="415"/>
      <c r="AA148" s="416"/>
    </row>
    <row r="149" spans="1:43" customFormat="1">
      <c r="A149" s="430" t="s">
        <v>485</v>
      </c>
      <c r="B149" s="431"/>
      <c r="C149" s="431"/>
      <c r="D149" s="431"/>
      <c r="E149" s="431"/>
      <c r="F149" s="431"/>
      <c r="G149" s="431"/>
      <c r="H149" s="431"/>
      <c r="I149" s="431"/>
      <c r="J149" s="431"/>
      <c r="K149" s="431"/>
      <c r="L149" s="431"/>
      <c r="M149" s="431"/>
      <c r="N149" s="431"/>
      <c r="O149" s="431"/>
      <c r="P149" s="431"/>
      <c r="Q149" s="431"/>
      <c r="W149" s="417"/>
      <c r="X149" s="418"/>
      <c r="Y149" s="418"/>
      <c r="Z149" s="418"/>
      <c r="AA149" s="419"/>
    </row>
    <row r="150" spans="1:43">
      <c r="A150" s="306"/>
      <c r="B150" s="438" t="s">
        <v>293</v>
      </c>
      <c r="C150" s="313">
        <v>0</v>
      </c>
      <c r="D150" s="313">
        <v>0</v>
      </c>
      <c r="E150" s="313">
        <v>0</v>
      </c>
      <c r="F150" s="313">
        <v>20243</v>
      </c>
      <c r="G150" s="313">
        <v>0</v>
      </c>
      <c r="H150" s="313">
        <v>0</v>
      </c>
      <c r="I150" s="313">
        <v>0</v>
      </c>
      <c r="J150" s="437">
        <v>0</v>
      </c>
      <c r="K150" s="313">
        <f>SUM(C150:F150)</f>
        <v>20243</v>
      </c>
      <c r="L150" s="313">
        <f>SUM(G150:J150)</f>
        <v>0</v>
      </c>
      <c r="M150" s="313">
        <v>0</v>
      </c>
      <c r="N150" s="313"/>
      <c r="O150" s="313">
        <f>L150-K150</f>
        <v>-20243</v>
      </c>
      <c r="P150" s="313">
        <f>L150-M150</f>
        <v>0</v>
      </c>
      <c r="Q150" s="313">
        <f>N150-L150</f>
        <v>0</v>
      </c>
      <c r="S150"/>
      <c r="T150"/>
      <c r="U150"/>
      <c r="V150"/>
      <c r="W150" s="420" t="s">
        <v>293</v>
      </c>
      <c r="X150" s="305">
        <v>20243</v>
      </c>
      <c r="Y150" s="305">
        <v>0</v>
      </c>
      <c r="Z150" s="305">
        <f>Y150-AA150</f>
        <v>0</v>
      </c>
      <c r="AA150" s="313">
        <v>0</v>
      </c>
      <c r="AB150" s="179">
        <f>C150/C$31</f>
        <v>0</v>
      </c>
      <c r="AC150" s="179">
        <f>D150/D$31</f>
        <v>0</v>
      </c>
      <c r="AD150" s="179">
        <f>E150/E$31</f>
        <v>0</v>
      </c>
      <c r="AE150" s="179">
        <f>F150/F$31</f>
        <v>0.10540162089292038</v>
      </c>
      <c r="AF150" s="179">
        <f>G150/G$31</f>
        <v>0</v>
      </c>
      <c r="AG150" s="179">
        <f>H150/H$31</f>
        <v>0</v>
      </c>
      <c r="AH150" s="179">
        <f>I150/I$31</f>
        <v>0</v>
      </c>
      <c r="AI150" s="179">
        <f>J150/J$31</f>
        <v>0</v>
      </c>
    </row>
    <row r="151" spans="1:43">
      <c r="A151" s="306"/>
      <c r="B151" s="438" t="s">
        <v>301</v>
      </c>
      <c r="C151" s="313">
        <v>4278.8</v>
      </c>
      <c r="D151" s="313">
        <v>-1892.81</v>
      </c>
      <c r="E151" s="313">
        <v>51963.86</v>
      </c>
      <c r="F151" s="313">
        <v>-53696</v>
      </c>
      <c r="G151" s="313">
        <v>90.69</v>
      </c>
      <c r="H151" s="313">
        <v>1901.62</v>
      </c>
      <c r="I151" s="313">
        <v>116.72</v>
      </c>
      <c r="J151" s="437">
        <v>0</v>
      </c>
      <c r="K151" s="313">
        <f>SUM(C151:F151)</f>
        <v>653.84999999999854</v>
      </c>
      <c r="L151" s="313">
        <f>SUM(G151:J151)</f>
        <v>2109.0299999999997</v>
      </c>
      <c r="M151" s="313">
        <v>0</v>
      </c>
      <c r="N151" s="313">
        <v>0</v>
      </c>
      <c r="O151" s="313">
        <f>L151-K151</f>
        <v>1455.1800000000012</v>
      </c>
      <c r="P151" s="313">
        <f>L151-M151</f>
        <v>2109.0299999999997</v>
      </c>
      <c r="Q151" s="313">
        <f>N151-L151</f>
        <v>-2109.0299999999997</v>
      </c>
      <c r="S151"/>
      <c r="T151"/>
      <c r="U151"/>
      <c r="V151"/>
      <c r="W151" s="420" t="s">
        <v>301</v>
      </c>
      <c r="X151" s="305">
        <v>653.85</v>
      </c>
      <c r="Y151" s="305">
        <v>2109.0300000000002</v>
      </c>
      <c r="Z151" s="305">
        <f>Y151-AA151</f>
        <v>2109.0300000000002</v>
      </c>
      <c r="AA151" s="313">
        <v>0</v>
      </c>
      <c r="AB151" s="179">
        <f>C151/C$31</f>
        <v>4.5436584861062577E-2</v>
      </c>
      <c r="AC151" s="179">
        <f>D151/D$31</f>
        <v>-9.6517411362448142E-3</v>
      </c>
      <c r="AD151" s="179">
        <f>E151/E$31</f>
        <v>0.15476891108203666</v>
      </c>
      <c r="AE151" s="179">
        <f>F151/F$31</f>
        <v>-0.27958531025372985</v>
      </c>
      <c r="AF151" s="179">
        <f>G151/G$31</f>
        <v>1.1175804561808396E-3</v>
      </c>
      <c r="AG151" s="179">
        <f>H151/H$31</f>
        <v>7.7493343287499067E-3</v>
      </c>
      <c r="AH151" s="179">
        <f>I151/I$31</f>
        <v>2.0915820113840336E-4</v>
      </c>
      <c r="AI151" s="179">
        <f>J151/J$31</f>
        <v>0</v>
      </c>
    </row>
    <row r="152" spans="1:43">
      <c r="A152" s="306"/>
      <c r="B152" s="438" t="s">
        <v>311</v>
      </c>
      <c r="C152" s="423">
        <v>0</v>
      </c>
      <c r="D152" s="423">
        <v>0</v>
      </c>
      <c r="E152" s="423">
        <v>0</v>
      </c>
      <c r="F152" s="423">
        <v>37401</v>
      </c>
      <c r="G152" s="423">
        <v>0</v>
      </c>
      <c r="H152" s="423">
        <v>0</v>
      </c>
      <c r="I152" s="423">
        <v>0</v>
      </c>
      <c r="J152" s="423">
        <f>SUM(G152:I152)/9*2+AA152</f>
        <v>0</v>
      </c>
      <c r="K152" s="423">
        <f>SUM(C152:F152)</f>
        <v>37401</v>
      </c>
      <c r="L152" s="423">
        <f>SUM(G152:J152)</f>
        <v>0</v>
      </c>
      <c r="M152" s="423"/>
      <c r="N152" s="423"/>
      <c r="O152" s="423">
        <f>L152-K152</f>
        <v>-37401</v>
      </c>
      <c r="P152" s="423">
        <f>L152-M152</f>
        <v>0</v>
      </c>
      <c r="Q152" s="423">
        <f>L152-N152</f>
        <v>0</v>
      </c>
      <c r="S152"/>
      <c r="T152"/>
      <c r="U152"/>
      <c r="V152"/>
      <c r="W152" s="421" t="s">
        <v>311</v>
      </c>
      <c r="X152" s="422">
        <v>37401</v>
      </c>
      <c r="Y152" s="422">
        <v>0</v>
      </c>
      <c r="Z152" s="422">
        <f t="shared" ref="Z152:Z156" si="221">Y152-AA152</f>
        <v>0</v>
      </c>
      <c r="AA152" s="423">
        <v>0</v>
      </c>
      <c r="AB152">
        <f>C152/C$31</f>
        <v>0</v>
      </c>
      <c r="AC152">
        <f>D152/D$31</f>
        <v>0</v>
      </c>
      <c r="AD152">
        <f>E152/E$31</f>
        <v>0</v>
      </c>
      <c r="AE152">
        <f>F152/F$31</f>
        <v>0.19474020762812405</v>
      </c>
      <c r="AF152">
        <f>G152/G$31</f>
        <v>0</v>
      </c>
      <c r="AG152">
        <f>H152/H$31</f>
        <v>0</v>
      </c>
      <c r="AH152">
        <f>I152/I$31</f>
        <v>0</v>
      </c>
      <c r="AI152">
        <f>J152/J$31</f>
        <v>0</v>
      </c>
      <c r="AJ152"/>
      <c r="AK152"/>
      <c r="AL152"/>
      <c r="AM152"/>
      <c r="AN152"/>
      <c r="AO152"/>
      <c r="AP152"/>
      <c r="AQ152"/>
    </row>
    <row r="153" spans="1:43">
      <c r="A153" s="306"/>
      <c r="B153" s="438" t="s">
        <v>320</v>
      </c>
      <c r="C153" s="423">
        <v>0</v>
      </c>
      <c r="D153" s="423">
        <v>99.99</v>
      </c>
      <c r="E153" s="423">
        <v>0</v>
      </c>
      <c r="F153" s="423">
        <v>0</v>
      </c>
      <c r="G153" s="423">
        <v>0</v>
      </c>
      <c r="H153" s="423">
        <v>0</v>
      </c>
      <c r="I153" s="423">
        <v>-164</v>
      </c>
      <c r="J153" s="423">
        <v>0</v>
      </c>
      <c r="K153" s="423">
        <f>SUM(C153:F153)</f>
        <v>99.99</v>
      </c>
      <c r="L153" s="423">
        <f>SUM(G153:J153)</f>
        <v>-164</v>
      </c>
      <c r="M153" s="423"/>
      <c r="N153" s="423"/>
      <c r="O153" s="423">
        <f>L153-K153</f>
        <v>-263.99</v>
      </c>
      <c r="P153" s="423">
        <f>L153-M153</f>
        <v>-164</v>
      </c>
      <c r="Q153" s="423">
        <f>L153-N153</f>
        <v>-164</v>
      </c>
      <c r="S153"/>
      <c r="T153"/>
      <c r="U153"/>
      <c r="V153"/>
      <c r="W153" s="421" t="s">
        <v>320</v>
      </c>
      <c r="X153" s="422">
        <v>99.99</v>
      </c>
      <c r="Y153" s="422">
        <v>-164</v>
      </c>
      <c r="Z153" s="422">
        <f t="shared" si="221"/>
        <v>-164</v>
      </c>
      <c r="AA153" s="423">
        <v>0</v>
      </c>
      <c r="AB153">
        <f>C153/C$31</f>
        <v>0</v>
      </c>
      <c r="AC153">
        <f>D153/D$31</f>
        <v>5.0986501350538027E-4</v>
      </c>
      <c r="AD153">
        <f>E153/E$31</f>
        <v>0</v>
      </c>
      <c r="AE153">
        <f>F153/F$31</f>
        <v>0</v>
      </c>
      <c r="AF153">
        <f>G153/G$31</f>
        <v>0</v>
      </c>
      <c r="AG153">
        <f>H153/H$31</f>
        <v>0</v>
      </c>
      <c r="AH153">
        <f>I153/I$31</f>
        <v>-2.9388232510879159E-4</v>
      </c>
      <c r="AI153">
        <f>J153/J$31</f>
        <v>0</v>
      </c>
      <c r="AJ153"/>
      <c r="AK153"/>
      <c r="AL153"/>
      <c r="AM153"/>
      <c r="AN153"/>
      <c r="AO153"/>
      <c r="AP153"/>
      <c r="AQ153"/>
    </row>
    <row r="154" spans="1:43">
      <c r="A154" s="306"/>
      <c r="B154" s="438" t="s">
        <v>321</v>
      </c>
      <c r="C154" s="423">
        <v>25000</v>
      </c>
      <c r="D154" s="423">
        <v>0</v>
      </c>
      <c r="E154" s="423">
        <v>0</v>
      </c>
      <c r="F154" s="423">
        <v>-25370</v>
      </c>
      <c r="G154" s="423">
        <v>0</v>
      </c>
      <c r="H154" s="423">
        <v>0</v>
      </c>
      <c r="I154" s="423">
        <v>0</v>
      </c>
      <c r="J154" s="423">
        <v>0</v>
      </c>
      <c r="K154" s="423">
        <f>SUM(C154:F154)</f>
        <v>-370</v>
      </c>
      <c r="L154" s="423">
        <f>SUM(G154:J154)</f>
        <v>0</v>
      </c>
      <c r="M154" s="423"/>
      <c r="N154" s="423"/>
      <c r="O154" s="423">
        <f>L154-K154</f>
        <v>370</v>
      </c>
      <c r="P154" s="423">
        <f>L154-M154</f>
        <v>0</v>
      </c>
      <c r="Q154" s="423">
        <f>L154-N154</f>
        <v>0</v>
      </c>
      <c r="S154"/>
      <c r="T154"/>
      <c r="U154"/>
      <c r="V154"/>
      <c r="W154" s="421" t="s">
        <v>321</v>
      </c>
      <c r="X154" s="422">
        <v>-370</v>
      </c>
      <c r="Y154" s="422">
        <v>0</v>
      </c>
      <c r="Z154" s="422">
        <f t="shared" si="221"/>
        <v>0</v>
      </c>
      <c r="AA154" s="423">
        <v>0</v>
      </c>
      <c r="AB154">
        <f>C154/C$31</f>
        <v>0.26547504476174733</v>
      </c>
      <c r="AC154">
        <f>D154/D$31</f>
        <v>0</v>
      </c>
      <c r="AD154">
        <f>E154/E$31</f>
        <v>0</v>
      </c>
      <c r="AE154">
        <f>F154/F$31</f>
        <v>-0.13209697782213062</v>
      </c>
      <c r="AF154">
        <f>G154/G$31</f>
        <v>0</v>
      </c>
      <c r="AG154">
        <f>H154/H$31</f>
        <v>0</v>
      </c>
      <c r="AH154">
        <f>I154/I$31</f>
        <v>0</v>
      </c>
      <c r="AI154">
        <f>J154/J$31</f>
        <v>0</v>
      </c>
      <c r="AJ154"/>
      <c r="AK154"/>
      <c r="AL154"/>
      <c r="AM154"/>
      <c r="AN154"/>
      <c r="AO154"/>
      <c r="AP154"/>
      <c r="AQ154"/>
    </row>
    <row r="155" spans="1:43">
      <c r="A155" s="306"/>
      <c r="B155" s="438" t="s">
        <v>318</v>
      </c>
      <c r="C155" s="423">
        <v>0</v>
      </c>
      <c r="D155" s="423">
        <v>0</v>
      </c>
      <c r="E155" s="423">
        <v>0</v>
      </c>
      <c r="F155" s="423">
        <v>-428</v>
      </c>
      <c r="G155" s="423">
        <v>0</v>
      </c>
      <c r="H155" s="423">
        <v>0</v>
      </c>
      <c r="I155" s="423">
        <v>0</v>
      </c>
      <c r="J155" s="423"/>
      <c r="K155" s="423">
        <f>SUM(C155:F155)</f>
        <v>-428</v>
      </c>
      <c r="L155" s="423">
        <f>SUM(G155:J155)</f>
        <v>0</v>
      </c>
      <c r="M155" s="423"/>
      <c r="N155" s="423"/>
      <c r="O155" s="423">
        <f>L155-K155</f>
        <v>428</v>
      </c>
      <c r="P155" s="423">
        <f>L155-M155</f>
        <v>0</v>
      </c>
      <c r="Q155" s="423">
        <f>L155-N155</f>
        <v>0</v>
      </c>
      <c r="S155"/>
      <c r="T155"/>
      <c r="U155"/>
      <c r="V155"/>
      <c r="W155" s="421" t="s">
        <v>318</v>
      </c>
      <c r="X155" s="422">
        <v>-428</v>
      </c>
      <c r="Y155" s="422">
        <v>0</v>
      </c>
      <c r="Z155" s="422">
        <f t="shared" si="221"/>
        <v>0</v>
      </c>
      <c r="AA155" s="423">
        <v>0</v>
      </c>
      <c r="AB155">
        <f>C155/C$31</f>
        <v>0</v>
      </c>
      <c r="AC155">
        <f>D155/D$31</f>
        <v>0</v>
      </c>
      <c r="AD155">
        <f>E155/E$31</f>
        <v>0</v>
      </c>
      <c r="AE155">
        <f>F155/F$31</f>
        <v>-2.2285181910867914E-3</v>
      </c>
      <c r="AF155">
        <f>G155/G$31</f>
        <v>0</v>
      </c>
      <c r="AG155">
        <f>H155/H$31</f>
        <v>0</v>
      </c>
      <c r="AH155">
        <f>I155/I$31</f>
        <v>0</v>
      </c>
      <c r="AI155">
        <f>J155/J$31</f>
        <v>0</v>
      </c>
      <c r="AJ155"/>
      <c r="AK155"/>
      <c r="AL155"/>
      <c r="AM155"/>
      <c r="AN155"/>
      <c r="AO155"/>
      <c r="AP155"/>
      <c r="AQ155"/>
    </row>
    <row r="156" spans="1:43" s="3" customFormat="1">
      <c r="A156" s="302" t="s">
        <v>381</v>
      </c>
      <c r="B156" s="439"/>
      <c r="C156" s="423">
        <v>0</v>
      </c>
      <c r="D156" s="423">
        <v>0</v>
      </c>
      <c r="E156" s="423">
        <v>0</v>
      </c>
      <c r="F156" s="423">
        <v>-276</v>
      </c>
      <c r="G156" s="423">
        <v>0</v>
      </c>
      <c r="H156" s="423">
        <v>0</v>
      </c>
      <c r="I156" s="423">
        <v>0</v>
      </c>
      <c r="J156" s="423">
        <f>SUM(G156:I156)/9*2+AA156</f>
        <v>0</v>
      </c>
      <c r="K156" s="423">
        <f>SUM(C156:F156)</f>
        <v>-276</v>
      </c>
      <c r="L156" s="423">
        <f>SUM(G156:J156)</f>
        <v>0</v>
      </c>
      <c r="M156" s="423">
        <v>0</v>
      </c>
      <c r="N156" s="423">
        <v>0</v>
      </c>
      <c r="O156" s="423">
        <f>L156-K156</f>
        <v>276</v>
      </c>
      <c r="P156" s="423">
        <f>L156-M156</f>
        <v>0</v>
      </c>
      <c r="Q156" s="423">
        <f>L156-N156</f>
        <v>0</v>
      </c>
      <c r="R156"/>
      <c r="S156"/>
      <c r="T156"/>
      <c r="U156"/>
      <c r="V156"/>
      <c r="W156" s="421" t="s">
        <v>381</v>
      </c>
      <c r="X156" s="422">
        <v>-276</v>
      </c>
      <c r="Y156" s="422">
        <v>0</v>
      </c>
      <c r="Z156" s="422">
        <f t="shared" si="221"/>
        <v>0</v>
      </c>
      <c r="AA156" s="423">
        <v>0</v>
      </c>
      <c r="AB156">
        <f>C156/C$31</f>
        <v>0</v>
      </c>
      <c r="AC156">
        <f>D156/D$31</f>
        <v>0</v>
      </c>
      <c r="AD156">
        <f>E156/E$31</f>
        <v>0</v>
      </c>
      <c r="AE156">
        <f>F156/F$31</f>
        <v>-1.4370818241587723E-3</v>
      </c>
      <c r="AF156">
        <f>G156/G$31</f>
        <v>0</v>
      </c>
      <c r="AG156">
        <f>H156/H$31</f>
        <v>0</v>
      </c>
      <c r="AH156">
        <f>I156/I$31</f>
        <v>0</v>
      </c>
      <c r="AI156">
        <f>J156/J$31</f>
        <v>0</v>
      </c>
      <c r="AJ156"/>
      <c r="AK156"/>
      <c r="AL156"/>
      <c r="AM156"/>
      <c r="AN156"/>
      <c r="AO156"/>
      <c r="AP156"/>
      <c r="AQ156"/>
    </row>
    <row r="157" spans="1:43">
      <c r="A157" s="65" t="s">
        <v>490</v>
      </c>
      <c r="B157" s="52"/>
      <c r="C157" s="432">
        <f>SUM(C152:C155)-SUM(C150:C151)</f>
        <v>20721.2</v>
      </c>
      <c r="D157" s="432">
        <f>SUM(D152:D155)-SUM(D150:D151)</f>
        <v>1992.8</v>
      </c>
      <c r="E157" s="432">
        <f>SUM(E152:E155)-SUM(E150:E151)</f>
        <v>-51963.86</v>
      </c>
      <c r="F157" s="432">
        <f>SUM(F152:F156)-SUM(F150:F151)</f>
        <v>44780</v>
      </c>
      <c r="G157" s="432">
        <f>SUM(G152:G155)-SUM(G150:G151)</f>
        <v>-90.69</v>
      </c>
      <c r="H157" s="432">
        <f>SUM(H152:H155)-SUM(H150:H151)</f>
        <v>-1901.62</v>
      </c>
      <c r="I157" s="432">
        <f>SUM(I152:I155)-SUM(I150:I151)</f>
        <v>-280.72000000000003</v>
      </c>
      <c r="J157" s="432">
        <f>SUM(J152:J155)-SUM(J150:J151)</f>
        <v>0</v>
      </c>
      <c r="K157" s="432">
        <f>SUM(K152:K155)-SUM(K150:K151)</f>
        <v>15806.14</v>
      </c>
      <c r="L157" s="432">
        <f>SUM(L152:L155)-SUM(L150:L151)</f>
        <v>-2273.0299999999997</v>
      </c>
      <c r="M157" s="432">
        <f>SUM(M152:M155)-SUM(M150:M151)</f>
        <v>0</v>
      </c>
      <c r="N157" s="432">
        <f>SUM(N152:N155)-SUM(N150:N151)</f>
        <v>0</v>
      </c>
      <c r="O157" s="432">
        <f>SUM(O152:O155)-SUM(O150:O151)</f>
        <v>-18079.169999999998</v>
      </c>
      <c r="P157" s="432">
        <f>SUM(P152:P155)-SUM(P150:P151)</f>
        <v>-2273.0299999999997</v>
      </c>
      <c r="Q157" s="432">
        <f>SUM(Q152:Q155)-SUM(Q150:Q151)</f>
        <v>1945.0299999999997</v>
      </c>
      <c r="S157"/>
      <c r="T157"/>
      <c r="U157"/>
      <c r="V157"/>
      <c r="W157" s="414"/>
      <c r="X157" s="415"/>
      <c r="Y157" s="415"/>
      <c r="Z157" s="415"/>
      <c r="AA157" s="416"/>
      <c r="AB157"/>
      <c r="AC157"/>
      <c r="AD157"/>
      <c r="AE157"/>
      <c r="AF157"/>
      <c r="AG157"/>
      <c r="AH157"/>
      <c r="AI157"/>
      <c r="AJ157"/>
      <c r="AK157"/>
      <c r="AL157"/>
    </row>
    <row r="158" spans="1:43">
      <c r="A158" s="15"/>
      <c r="B158" s="52"/>
      <c r="C158" s="416"/>
      <c r="D158" s="416"/>
      <c r="E158" s="416"/>
      <c r="F158" s="416"/>
      <c r="G158" s="416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S158"/>
      <c r="T158"/>
      <c r="U158"/>
      <c r="V158"/>
      <c r="W158" s="414"/>
      <c r="X158" s="415"/>
      <c r="Y158" s="415"/>
      <c r="Z158" s="415"/>
      <c r="AA158" s="416"/>
      <c r="AB158"/>
      <c r="AC158"/>
      <c r="AD158"/>
      <c r="AE158"/>
      <c r="AF158"/>
      <c r="AG158"/>
      <c r="AH158"/>
      <c r="AI158"/>
      <c r="AJ158"/>
      <c r="AK158"/>
      <c r="AL158"/>
    </row>
    <row r="159" spans="1:43" s="3" customFormat="1">
      <c r="A159" s="433" t="s">
        <v>491</v>
      </c>
      <c r="B159" s="440"/>
      <c r="C159" s="434">
        <f>C145-C157</f>
        <v>-21452.350000000009</v>
      </c>
      <c r="D159" s="434">
        <f>D145-D157</f>
        <v>25717.440000000021</v>
      </c>
      <c r="E159" s="434">
        <f>E145-E157</f>
        <v>-57452.089999999924</v>
      </c>
      <c r="F159" s="434">
        <f>F145-F157</f>
        <v>-200840.37000000002</v>
      </c>
      <c r="G159" s="434">
        <f>G145-G157</f>
        <v>-78427.719999999972</v>
      </c>
      <c r="H159" s="434">
        <f>H145-H157</f>
        <v>-15120.55000000001</v>
      </c>
      <c r="I159" s="434">
        <f>I145-I157</f>
        <v>21216.429999999935</v>
      </c>
      <c r="J159" s="434">
        <f>J145-J157</f>
        <v>-334809.15777777776</v>
      </c>
      <c r="K159" s="434">
        <f>K145-K157</f>
        <v>-254303.37000000005</v>
      </c>
      <c r="L159" s="434">
        <f>L145-L157</f>
        <v>-407140.99777777784</v>
      </c>
      <c r="M159" s="434">
        <f>M145-M157</f>
        <v>842339.87000000011</v>
      </c>
      <c r="N159" s="434">
        <f>N145-N157</f>
        <v>750755.41933333327</v>
      </c>
      <c r="O159" s="434">
        <f>O145-O157</f>
        <v>-152837.62777777773</v>
      </c>
      <c r="P159" s="434">
        <f>P145-P157</f>
        <v>-1249480.8677777776</v>
      </c>
      <c r="Q159" s="434">
        <f>Q145-Q157</f>
        <v>82602.702888889035</v>
      </c>
      <c r="R159" s="396"/>
      <c r="S159"/>
      <c r="T159"/>
      <c r="U159"/>
      <c r="V159"/>
      <c r="W159" s="424"/>
      <c r="X159" s="425"/>
      <c r="Y159" s="425"/>
      <c r="Z159" s="425"/>
      <c r="AA159" s="426"/>
      <c r="AB159" s="396"/>
      <c r="AC159" s="396"/>
      <c r="AD159" s="396"/>
      <c r="AE159" s="396"/>
      <c r="AF159" s="396"/>
      <c r="AG159" s="396"/>
      <c r="AH159" s="396"/>
      <c r="AI159" s="396"/>
      <c r="AJ159" s="396"/>
      <c r="AK159" s="396"/>
      <c r="AL159" s="396"/>
    </row>
    <row r="160" spans="1:43">
      <c r="A160" s="15"/>
      <c r="B160" s="52"/>
      <c r="C160" s="416"/>
      <c r="D160" s="416"/>
      <c r="E160" s="416"/>
      <c r="F160" s="416"/>
      <c r="G160" s="416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S160"/>
      <c r="T160"/>
      <c r="U160"/>
      <c r="V160"/>
      <c r="W160" s="414"/>
      <c r="X160" s="415"/>
      <c r="Y160" s="415"/>
      <c r="Z160" s="415"/>
      <c r="AA160" s="416"/>
      <c r="AB160"/>
      <c r="AC160"/>
      <c r="AD160"/>
      <c r="AE160"/>
      <c r="AF160"/>
      <c r="AG160"/>
      <c r="AH160"/>
      <c r="AI160"/>
      <c r="AJ160"/>
      <c r="AK160"/>
      <c r="AL160"/>
    </row>
    <row r="161" spans="1:35">
      <c r="A161" s="427"/>
      <c r="B161" s="441" t="s">
        <v>387</v>
      </c>
      <c r="C161" s="429">
        <v>0</v>
      </c>
      <c r="D161" s="429">
        <v>0</v>
      </c>
      <c r="E161" s="429">
        <v>0</v>
      </c>
      <c r="F161" s="429">
        <v>-178</v>
      </c>
      <c r="G161" s="429">
        <v>0</v>
      </c>
      <c r="H161" s="429">
        <v>0</v>
      </c>
      <c r="I161" s="429">
        <v>0</v>
      </c>
      <c r="J161" s="429">
        <f>SUM(G161:I161)/9*2+AA161</f>
        <v>0</v>
      </c>
      <c r="K161" s="429">
        <f>SUM(C161:F161)</f>
        <v>-178</v>
      </c>
      <c r="L161" s="429">
        <f>SUM(G161:J161)</f>
        <v>0</v>
      </c>
      <c r="M161" s="429"/>
      <c r="N161" s="429"/>
      <c r="O161" s="435">
        <f>L161-K161</f>
        <v>178</v>
      </c>
      <c r="P161" s="436">
        <v>0</v>
      </c>
      <c r="Q161" s="436">
        <f>L161-N161</f>
        <v>0</v>
      </c>
      <c r="S161"/>
      <c r="T161"/>
      <c r="U161"/>
      <c r="V161"/>
      <c r="W161" s="427" t="s">
        <v>387</v>
      </c>
      <c r="X161" s="428">
        <v>-178</v>
      </c>
      <c r="Y161" s="428">
        <v>0</v>
      </c>
      <c r="Z161" s="428">
        <f>Y161-AA161</f>
        <v>0</v>
      </c>
      <c r="AA161" s="429">
        <v>0</v>
      </c>
      <c r="AB161" s="179">
        <f>C161/C$31</f>
        <v>0</v>
      </c>
      <c r="AC161" s="179">
        <f>D161/D$31</f>
        <v>0</v>
      </c>
      <c r="AD161" s="179">
        <f>E161/E$31</f>
        <v>0</v>
      </c>
      <c r="AE161" s="179">
        <f>F161/F$31</f>
        <v>-9.2681364021833859E-4</v>
      </c>
      <c r="AF161" s="179">
        <f>G161/G$31</f>
        <v>0</v>
      </c>
      <c r="AG161" s="179">
        <f>H161/H$31</f>
        <v>0</v>
      </c>
      <c r="AH161" s="179">
        <f>I161/I$31</f>
        <v>0</v>
      </c>
      <c r="AI161" s="179">
        <f>J161/J$31</f>
        <v>0</v>
      </c>
    </row>
  </sheetData>
  <mergeCells count="4">
    <mergeCell ref="C1:F1"/>
    <mergeCell ref="G1:I1"/>
    <mergeCell ref="O1:Q1"/>
    <mergeCell ref="A3:B3"/>
  </mergeCells>
  <printOptions horizontalCentered="1"/>
  <pageMargins left="0.15" right="0.15" top="0.2" bottom="0.2" header="0.3" footer="0.3"/>
  <pageSetup scale="53" fitToHeight="3" orientation="landscape" horizontalDpi="0" verticalDpi="0"/>
  <rowBreaks count="2" manualBreakCount="2">
    <brk id="32" max="16383" man="1"/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E039D-5B6A-DF41-B9AD-0E4059DBE6C0}">
  <dimension ref="A1:X158"/>
  <sheetViews>
    <sheetView zoomScale="125" zoomScaleNormal="125" workbookViewId="0">
      <selection activeCell="A11" sqref="A11:XFD11"/>
    </sheetView>
  </sheetViews>
  <sheetFormatPr baseColWidth="10" defaultRowHeight="15"/>
  <cols>
    <col min="1" max="1" width="22.6640625" style="1" bestFit="1" customWidth="1"/>
    <col min="2" max="3" width="9.83203125" style="1" bestFit="1" customWidth="1"/>
    <col min="4" max="4" width="10.33203125" style="1" bestFit="1" customWidth="1"/>
    <col min="5" max="5" width="8.6640625" style="1" bestFit="1" customWidth="1"/>
    <col min="6" max="6" width="3" style="1" customWidth="1"/>
    <col min="7" max="7" width="19.1640625" style="1" bestFit="1" customWidth="1"/>
    <col min="8" max="8" width="8.6640625" style="1" bestFit="1" customWidth="1"/>
    <col min="9" max="9" width="7.6640625" style="1" bestFit="1" customWidth="1"/>
    <col min="10" max="10" width="9.5" style="1" bestFit="1" customWidth="1"/>
    <col min="11" max="11" width="8.6640625" style="1" bestFit="1" customWidth="1"/>
    <col min="12" max="12" width="3.5" style="1" customWidth="1"/>
    <col min="13" max="13" width="16.5" style="1" bestFit="1" customWidth="1"/>
    <col min="14" max="15" width="7.6640625" style="1" bestFit="1" customWidth="1"/>
    <col min="16" max="16" width="5.6640625" style="1" bestFit="1" customWidth="1"/>
    <col min="17" max="17" width="8.6640625" style="1" bestFit="1" customWidth="1"/>
    <col min="18" max="18" width="2.5" style="1" customWidth="1"/>
    <col min="19" max="19" width="10.83203125" style="1"/>
    <col min="20" max="21" width="11" style="1" bestFit="1" customWidth="1"/>
    <col min="22" max="22" width="10.83203125" style="1"/>
    <col min="23" max="23" width="11.6640625" style="1" bestFit="1" customWidth="1"/>
    <col min="24" max="16384" width="10.83203125" style="1"/>
  </cols>
  <sheetData>
    <row r="1" spans="1:24">
      <c r="A1" s="240" t="s">
        <v>265</v>
      </c>
      <c r="C1" s="459">
        <v>0.10539999999999999</v>
      </c>
      <c r="D1" s="460" t="s">
        <v>493</v>
      </c>
      <c r="G1" s="240" t="s">
        <v>66</v>
      </c>
      <c r="H1" s="106"/>
      <c r="I1" s="106"/>
      <c r="J1" s="266"/>
      <c r="K1" s="266"/>
      <c r="L1" s="266"/>
      <c r="M1" s="267" t="s">
        <v>122</v>
      </c>
      <c r="N1" s="266"/>
      <c r="O1" s="266"/>
      <c r="P1" s="106"/>
      <c r="Q1" s="106"/>
      <c r="R1" s="106"/>
      <c r="X1" s="106"/>
    </row>
    <row r="2" spans="1:24">
      <c r="A2" s="240"/>
      <c r="C2" s="459"/>
      <c r="D2" s="460"/>
      <c r="G2" s="240"/>
      <c r="H2" s="106"/>
      <c r="I2" s="106"/>
      <c r="J2" s="266"/>
      <c r="K2" s="266"/>
      <c r="L2" s="266"/>
      <c r="M2" s="267"/>
      <c r="N2" s="266"/>
      <c r="O2" s="266"/>
      <c r="P2" s="106"/>
      <c r="Q2" s="106"/>
      <c r="R2" s="106"/>
      <c r="X2" s="106"/>
    </row>
    <row r="3" spans="1:24">
      <c r="A3" s="48" t="s">
        <v>22</v>
      </c>
      <c r="B3" s="34" t="s">
        <v>496</v>
      </c>
      <c r="C3" s="34" t="s">
        <v>497</v>
      </c>
      <c r="D3" s="34" t="s">
        <v>498</v>
      </c>
      <c r="H3" s="106"/>
      <c r="I3" s="106"/>
      <c r="J3" s="268" t="s">
        <v>494</v>
      </c>
      <c r="K3" s="266"/>
      <c r="L3" s="266"/>
      <c r="M3" s="110"/>
      <c r="N3" s="266"/>
      <c r="O3" s="266"/>
      <c r="P3" s="106"/>
      <c r="Q3" s="106"/>
      <c r="R3" s="106"/>
      <c r="X3" s="106"/>
    </row>
    <row r="4" spans="1:24">
      <c r="A4" s="202" t="s">
        <v>50</v>
      </c>
      <c r="B4" s="242" t="s">
        <v>51</v>
      </c>
      <c r="C4" s="242" t="s">
        <v>52</v>
      </c>
      <c r="D4" s="242" t="s">
        <v>64</v>
      </c>
      <c r="E4" s="242" t="s">
        <v>53</v>
      </c>
      <c r="F4" s="241"/>
      <c r="G4" s="48" t="s">
        <v>50</v>
      </c>
      <c r="H4" s="242" t="s">
        <v>51</v>
      </c>
      <c r="I4" s="242" t="s">
        <v>52</v>
      </c>
      <c r="J4" s="269" t="s">
        <v>64</v>
      </c>
      <c r="K4" s="269" t="s">
        <v>53</v>
      </c>
      <c r="L4" s="269"/>
      <c r="M4" s="270" t="s">
        <v>50</v>
      </c>
      <c r="N4" s="269" t="s">
        <v>51</v>
      </c>
      <c r="O4" s="269" t="s">
        <v>52</v>
      </c>
      <c r="P4" s="242" t="s">
        <v>120</v>
      </c>
      <c r="Q4" s="242" t="s">
        <v>53</v>
      </c>
      <c r="R4" s="241"/>
      <c r="X4" s="237"/>
    </row>
    <row r="5" spans="1:24">
      <c r="A5" s="1" t="s">
        <v>54</v>
      </c>
      <c r="B5" s="20">
        <v>65000</v>
      </c>
      <c r="C5" s="20">
        <f>B5*C$1</f>
        <v>6851</v>
      </c>
      <c r="D5" s="20"/>
      <c r="E5" s="20">
        <f>SUM(B5:D5)</f>
        <v>71851</v>
      </c>
      <c r="F5" s="106"/>
      <c r="G5" s="1" t="s">
        <v>54</v>
      </c>
      <c r="H5" s="20">
        <v>26000</v>
      </c>
      <c r="I5" s="20">
        <f t="shared" ref="I5:I14" si="0">SUM(H5*0.13)</f>
        <v>3380</v>
      </c>
      <c r="J5" s="20">
        <v>0</v>
      </c>
      <c r="K5" s="20">
        <f t="shared" ref="K5:K14" si="1">SUM(H5:J5)</f>
        <v>29380</v>
      </c>
      <c r="L5" s="20"/>
      <c r="M5" s="1" t="s">
        <v>54</v>
      </c>
      <c r="N5" s="20">
        <v>0</v>
      </c>
      <c r="O5" s="20">
        <f>SUM(N5*0.1)</f>
        <v>0</v>
      </c>
      <c r="P5" s="20"/>
      <c r="Q5" s="20"/>
      <c r="R5" s="20"/>
      <c r="X5" s="106"/>
    </row>
    <row r="6" spans="1:24">
      <c r="A6" s="1" t="s">
        <v>55</v>
      </c>
      <c r="B6" s="20">
        <v>65000</v>
      </c>
      <c r="C6" s="20">
        <f>B6*C$1</f>
        <v>6851</v>
      </c>
      <c r="D6" s="20">
        <f>1047*0.75*12</f>
        <v>9423</v>
      </c>
      <c r="E6" s="20">
        <f t="shared" ref="E6:E8" si="2">SUM(B6:D6)</f>
        <v>81274</v>
      </c>
      <c r="F6" s="106"/>
      <c r="G6" s="1" t="s">
        <v>55</v>
      </c>
      <c r="H6" s="20">
        <v>26000</v>
      </c>
      <c r="I6" s="20">
        <f t="shared" si="0"/>
        <v>3380</v>
      </c>
      <c r="J6" s="20">
        <v>0</v>
      </c>
      <c r="K6" s="20">
        <f t="shared" si="1"/>
        <v>29380</v>
      </c>
      <c r="L6" s="20"/>
      <c r="M6" s="1" t="s">
        <v>55</v>
      </c>
      <c r="N6" s="20">
        <v>30000</v>
      </c>
      <c r="O6" s="20">
        <f>SUM(N6*0.2)</f>
        <v>6000</v>
      </c>
      <c r="P6" s="20"/>
      <c r="Q6" s="20">
        <f>SUM(N6:P6)</f>
        <v>36000</v>
      </c>
      <c r="R6" s="20"/>
      <c r="X6" s="106"/>
    </row>
    <row r="7" spans="1:24">
      <c r="A7" s="1" t="s">
        <v>56</v>
      </c>
      <c r="B7" s="20">
        <v>52000</v>
      </c>
      <c r="C7" s="20">
        <f>B7*C$1</f>
        <v>5480.7999999999993</v>
      </c>
      <c r="D7" s="20">
        <f>1047*0.75*12</f>
        <v>9423</v>
      </c>
      <c r="E7" s="20">
        <f t="shared" si="2"/>
        <v>66903.8</v>
      </c>
      <c r="F7" s="106"/>
      <c r="G7" s="1" t="s">
        <v>56</v>
      </c>
      <c r="H7" s="20">
        <v>52000</v>
      </c>
      <c r="I7" s="20">
        <f t="shared" si="0"/>
        <v>6760</v>
      </c>
      <c r="J7" s="20">
        <v>5600</v>
      </c>
      <c r="K7" s="20">
        <f t="shared" si="1"/>
        <v>64360</v>
      </c>
      <c r="L7" s="20"/>
      <c r="M7" s="1" t="s">
        <v>56</v>
      </c>
      <c r="N7" s="20">
        <v>10000</v>
      </c>
      <c r="O7" s="20">
        <f>SUM(N7*0.2)</f>
        <v>2000</v>
      </c>
      <c r="P7" s="20"/>
      <c r="Q7" s="20">
        <f>SUM(N7:P7)</f>
        <v>12000</v>
      </c>
      <c r="R7" s="20"/>
      <c r="X7" s="106"/>
    </row>
    <row r="8" spans="1:24">
      <c r="A8" s="1" t="s">
        <v>58</v>
      </c>
      <c r="B8" s="20">
        <v>39000</v>
      </c>
      <c r="C8" s="20">
        <f>B8*C$1</f>
        <v>4110.5999999999995</v>
      </c>
      <c r="D8" s="20"/>
      <c r="E8" s="20">
        <f t="shared" si="2"/>
        <v>43110.6</v>
      </c>
      <c r="F8" s="106"/>
      <c r="G8" s="1" t="s">
        <v>58</v>
      </c>
      <c r="H8" s="20">
        <v>52000</v>
      </c>
      <c r="I8" s="20">
        <f t="shared" si="0"/>
        <v>6760</v>
      </c>
      <c r="J8" s="20">
        <v>5600</v>
      </c>
      <c r="K8" s="20">
        <f t="shared" si="1"/>
        <v>64360</v>
      </c>
      <c r="L8" s="20"/>
      <c r="M8" s="1" t="s">
        <v>58</v>
      </c>
      <c r="N8" s="20">
        <v>40000</v>
      </c>
      <c r="O8" s="20">
        <f>SUM(N8*0.2)</f>
        <v>8000</v>
      </c>
      <c r="P8" s="20"/>
      <c r="Q8" s="20">
        <f>SUM(N8:P8)</f>
        <v>48000</v>
      </c>
      <c r="R8" s="20"/>
      <c r="X8" s="106"/>
    </row>
    <row r="9" spans="1:24">
      <c r="A9" s="1" t="s">
        <v>409</v>
      </c>
      <c r="B9" s="20">
        <v>45760</v>
      </c>
      <c r="C9" s="20">
        <f>B9*C$1</f>
        <v>4823.1039999999994</v>
      </c>
      <c r="D9" s="20"/>
      <c r="E9" s="20">
        <f>SUM(B9:D9)</f>
        <v>50583.103999999999</v>
      </c>
      <c r="F9" s="106"/>
      <c r="H9" s="20"/>
      <c r="I9" s="20"/>
      <c r="J9" s="20"/>
      <c r="K9" s="20"/>
      <c r="L9" s="20"/>
      <c r="N9" s="20"/>
      <c r="O9" s="20"/>
      <c r="P9" s="20"/>
      <c r="Q9" s="20"/>
      <c r="R9" s="20"/>
      <c r="X9" s="106"/>
    </row>
    <row r="10" spans="1:24">
      <c r="A10" s="462" t="s">
        <v>57</v>
      </c>
      <c r="B10" s="463">
        <v>60000</v>
      </c>
      <c r="C10" s="463">
        <f>B10*C$1</f>
        <v>6324</v>
      </c>
      <c r="D10" s="463"/>
      <c r="E10" s="463">
        <f>SUM(B10:D10)</f>
        <v>66324</v>
      </c>
      <c r="F10" s="464"/>
      <c r="G10" s="462" t="s">
        <v>57</v>
      </c>
      <c r="H10" s="463">
        <v>52000</v>
      </c>
      <c r="I10" s="463">
        <f>SUM(H10*0.13)</f>
        <v>6760</v>
      </c>
      <c r="J10" s="463">
        <v>5600</v>
      </c>
      <c r="K10" s="463">
        <f>SUM(H10:J10)</f>
        <v>64360</v>
      </c>
      <c r="L10" s="20"/>
      <c r="N10" s="20"/>
      <c r="O10" s="20"/>
      <c r="P10" s="20"/>
      <c r="Q10" s="20"/>
      <c r="R10" s="20"/>
      <c r="X10" s="106"/>
    </row>
    <row r="11" spans="1:24">
      <c r="A11" s="462"/>
      <c r="B11" s="463"/>
      <c r="C11" s="463"/>
      <c r="D11" s="463"/>
      <c r="E11" s="463"/>
      <c r="F11" s="464"/>
      <c r="G11" s="462"/>
      <c r="H11" s="463"/>
      <c r="I11" s="463"/>
      <c r="J11" s="463"/>
      <c r="K11" s="463"/>
      <c r="L11" s="20"/>
      <c r="N11" s="20"/>
      <c r="O11" s="20"/>
      <c r="P11" s="20"/>
      <c r="Q11" s="20"/>
      <c r="R11" s="20"/>
      <c r="X11" s="106"/>
    </row>
    <row r="12" spans="1:24">
      <c r="A12" s="1" t="s">
        <v>60</v>
      </c>
      <c r="B12" s="20">
        <v>8000</v>
      </c>
      <c r="C12" s="20">
        <f>B12*C$1</f>
        <v>843.19999999999993</v>
      </c>
      <c r="D12" s="20"/>
      <c r="E12" s="20">
        <f>SUM(B12:D12)</f>
        <v>8843.2000000000007</v>
      </c>
      <c r="F12" s="106"/>
      <c r="G12" s="1" t="s">
        <v>60</v>
      </c>
      <c r="H12" s="20">
        <v>8000</v>
      </c>
      <c r="I12" s="20">
        <f>SUM(H12*0.13)</f>
        <v>1040</v>
      </c>
      <c r="J12" s="20">
        <v>0</v>
      </c>
      <c r="K12" s="20">
        <f>SUM(H12:J12)</f>
        <v>9040</v>
      </c>
      <c r="L12" s="20"/>
      <c r="M12" s="1" t="s">
        <v>60</v>
      </c>
      <c r="N12" s="20">
        <v>8000</v>
      </c>
      <c r="O12" s="20">
        <f t="shared" ref="O12" si="3">SUM(N12*0.2)</f>
        <v>1600</v>
      </c>
      <c r="P12" s="20"/>
      <c r="Q12" s="20">
        <f>SUM(N12:P12)</f>
        <v>9600</v>
      </c>
      <c r="R12" s="20"/>
      <c r="X12" s="106"/>
    </row>
    <row r="13" spans="1:24">
      <c r="B13" s="20"/>
      <c r="C13" s="20"/>
      <c r="D13" s="20"/>
      <c r="E13" s="20"/>
      <c r="F13" s="106"/>
      <c r="G13" s="1" t="s">
        <v>59</v>
      </c>
      <c r="H13" s="20">
        <v>6000</v>
      </c>
      <c r="I13" s="20">
        <f t="shared" si="0"/>
        <v>780</v>
      </c>
      <c r="J13" s="20">
        <v>0</v>
      </c>
      <c r="K13" s="20">
        <f t="shared" si="1"/>
        <v>6780</v>
      </c>
      <c r="L13" s="20"/>
      <c r="M13" s="1" t="s">
        <v>59</v>
      </c>
      <c r="N13" s="20">
        <v>6000</v>
      </c>
      <c r="O13" s="20">
        <f>SUM(N13*0.2)</f>
        <v>1200</v>
      </c>
      <c r="P13" s="20" t="s">
        <v>121</v>
      </c>
      <c r="Q13" s="20">
        <f>SUM(N13:P13)</f>
        <v>7200</v>
      </c>
      <c r="R13" s="20"/>
      <c r="X13" s="106"/>
    </row>
    <row r="14" spans="1:24">
      <c r="B14" s="20"/>
      <c r="C14" s="20"/>
      <c r="D14" s="20"/>
      <c r="E14" s="20"/>
      <c r="F14" s="106"/>
      <c r="G14" s="1" t="s">
        <v>61</v>
      </c>
      <c r="H14" s="20">
        <v>13000</v>
      </c>
      <c r="I14" s="20">
        <f t="shared" si="0"/>
        <v>1690</v>
      </c>
      <c r="J14" s="20">
        <v>0</v>
      </c>
      <c r="K14" s="20">
        <f t="shared" si="1"/>
        <v>14690</v>
      </c>
      <c r="L14" s="20"/>
      <c r="N14" s="20"/>
      <c r="O14" s="20"/>
      <c r="P14" s="20"/>
      <c r="Q14" s="20"/>
      <c r="R14" s="20"/>
      <c r="X14" s="106"/>
    </row>
    <row r="15" spans="1:24">
      <c r="A15" s="3" t="s">
        <v>410</v>
      </c>
      <c r="B15" s="103">
        <f>SUM(B5:B14)</f>
        <v>334760</v>
      </c>
      <c r="C15" s="103">
        <f>SUM(C5:C14)</f>
        <v>35283.703999999998</v>
      </c>
      <c r="D15" s="103">
        <f>SUM(D5:D14)</f>
        <v>18846</v>
      </c>
      <c r="E15" s="103">
        <f>SUM(B15:D15)</f>
        <v>388889.70400000003</v>
      </c>
      <c r="F15" s="106"/>
      <c r="G15" s="201" t="s">
        <v>53</v>
      </c>
      <c r="H15" s="103">
        <f>SUM(H5:H14)</f>
        <v>235000</v>
      </c>
      <c r="I15" s="103">
        <f>SUM(I5:I14)</f>
        <v>30550</v>
      </c>
      <c r="J15" s="103">
        <f>SUM(J5:J14)</f>
        <v>16800</v>
      </c>
      <c r="K15" s="103">
        <f>SUM(K5:K14)</f>
        <v>282350</v>
      </c>
      <c r="L15" s="103"/>
      <c r="M15" s="201" t="s">
        <v>53</v>
      </c>
      <c r="N15" s="103">
        <f>SUM(N6:N14)</f>
        <v>94000</v>
      </c>
      <c r="O15" s="103">
        <f>SUM(O6:O14)</f>
        <v>18800</v>
      </c>
      <c r="P15" s="103">
        <f>SUM(P6:P14)</f>
        <v>0</v>
      </c>
      <c r="Q15" s="103">
        <f>SUM(Q6:Q14)</f>
        <v>112800</v>
      </c>
    </row>
    <row r="16" spans="1:24">
      <c r="A16" s="3"/>
      <c r="E16" s="3"/>
      <c r="F16" s="106"/>
      <c r="H16" s="106"/>
      <c r="I16" s="106"/>
      <c r="J16" s="106"/>
      <c r="K16" s="106"/>
      <c r="L16" s="106"/>
      <c r="S16" s="20"/>
    </row>
    <row r="17" spans="1:19">
      <c r="A17" s="3"/>
      <c r="B17" s="34" t="s">
        <v>499</v>
      </c>
      <c r="C17" s="34" t="s">
        <v>500</v>
      </c>
      <c r="F17" s="106"/>
      <c r="S17" s="20"/>
    </row>
    <row r="18" spans="1:19">
      <c r="A18" s="48" t="s">
        <v>495</v>
      </c>
      <c r="B18" s="242" t="s">
        <v>51</v>
      </c>
      <c r="C18" s="242" t="s">
        <v>52</v>
      </c>
      <c r="D18" s="242"/>
      <c r="E18" s="242" t="s">
        <v>53</v>
      </c>
      <c r="S18" s="20"/>
    </row>
    <row r="19" spans="1:19">
      <c r="A19" s="48" t="s">
        <v>50</v>
      </c>
      <c r="B19" s="461"/>
      <c r="C19" s="461"/>
      <c r="D19" s="461"/>
      <c r="E19" s="461"/>
      <c r="S19" s="20"/>
    </row>
    <row r="20" spans="1:19">
      <c r="A20" s="1" t="s">
        <v>411</v>
      </c>
      <c r="B20" s="20">
        <v>16000</v>
      </c>
      <c r="C20" s="20">
        <f>B20*C$1</f>
        <v>1686.3999999999999</v>
      </c>
      <c r="D20" s="20"/>
      <c r="E20" s="20">
        <f t="shared" ref="E20:E22" si="4">SUM(B20:D20)</f>
        <v>17686.400000000001</v>
      </c>
      <c r="S20" s="20"/>
    </row>
    <row r="21" spans="1:19">
      <c r="A21" s="1" t="s">
        <v>412</v>
      </c>
      <c r="B21" s="20">
        <v>16000</v>
      </c>
      <c r="C21" s="20">
        <f>B21*C$1</f>
        <v>1686.3999999999999</v>
      </c>
      <c r="D21" s="20"/>
      <c r="E21" s="20">
        <f t="shared" si="4"/>
        <v>17686.400000000001</v>
      </c>
      <c r="S21" s="20"/>
    </row>
    <row r="22" spans="1:19">
      <c r="A22" s="1" t="s">
        <v>413</v>
      </c>
      <c r="B22" s="20">
        <v>8000</v>
      </c>
      <c r="C22" s="20">
        <f>B22*C$1</f>
        <v>843.19999999999993</v>
      </c>
      <c r="D22" s="20"/>
      <c r="E22" s="20">
        <f t="shared" si="4"/>
        <v>8843.2000000000007</v>
      </c>
    </row>
    <row r="23" spans="1:19">
      <c r="B23" s="20"/>
      <c r="C23" s="20"/>
      <c r="D23" s="20"/>
      <c r="E23" s="20"/>
    </row>
    <row r="24" spans="1:19">
      <c r="A24" s="3" t="s">
        <v>6</v>
      </c>
      <c r="B24" s="103">
        <f>SUM(B20:B22)</f>
        <v>40000</v>
      </c>
      <c r="C24" s="103">
        <f>SUM(C20:C22)</f>
        <v>4216</v>
      </c>
      <c r="D24" s="103"/>
      <c r="E24" s="103">
        <f>SUM(E20:E22)</f>
        <v>44216</v>
      </c>
    </row>
    <row r="25" spans="1:19">
      <c r="D25" s="34"/>
    </row>
    <row r="158" spans="24:24">
      <c r="X158" s="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B1EBF-85FE-6548-936D-83FC46FD782E}">
  <dimension ref="A1:AF161"/>
  <sheetViews>
    <sheetView topLeftCell="A56" zoomScale="125" zoomScaleNormal="125" workbookViewId="0">
      <selection activeCell="D65" sqref="D65"/>
    </sheetView>
  </sheetViews>
  <sheetFormatPr baseColWidth="10" defaultRowHeight="15"/>
  <cols>
    <col min="1" max="1" width="35.5" style="1" bestFit="1" customWidth="1"/>
    <col min="2" max="2" width="6" style="1" customWidth="1"/>
    <col min="3" max="3" width="7.6640625" style="1" bestFit="1" customWidth="1"/>
    <col min="4" max="4" width="10.33203125" style="1" bestFit="1" customWidth="1"/>
    <col min="5" max="5" width="10" style="1" bestFit="1" customWidth="1"/>
    <col min="6" max="6" width="9.1640625" style="1" customWidth="1"/>
    <col min="7" max="7" width="9.5" style="1" bestFit="1" customWidth="1"/>
    <col min="8" max="8" width="10.33203125" style="1" customWidth="1"/>
    <col min="9" max="9" width="9.1640625" style="1" customWidth="1"/>
    <col min="10" max="10" width="8.1640625" style="1" bestFit="1" customWidth="1"/>
    <col min="11" max="11" width="9.1640625" style="89" bestFit="1" customWidth="1"/>
    <col min="12" max="12" width="8.1640625" style="135" bestFit="1" customWidth="1"/>
    <col min="13" max="13" width="9.1640625" style="1" bestFit="1" customWidth="1"/>
    <col min="14" max="14" width="37" style="1" bestFit="1" customWidth="1"/>
    <col min="15" max="16" width="10.33203125" style="1" bestFit="1" customWidth="1"/>
    <col min="17" max="18" width="9.1640625" style="1" bestFit="1" customWidth="1"/>
    <col min="19" max="19" width="7.6640625" style="1" bestFit="1" customWidth="1"/>
    <col min="20" max="20" width="7.33203125" style="1" bestFit="1" customWidth="1"/>
    <col min="21" max="21" width="14.6640625" style="1" bestFit="1" customWidth="1"/>
    <col min="22" max="22" width="24.6640625" style="1" bestFit="1" customWidth="1"/>
    <col min="23" max="23" width="7.83203125" style="1" bestFit="1" customWidth="1"/>
    <col min="24" max="24" width="7.6640625" style="1" bestFit="1" customWidth="1"/>
    <col min="25" max="25" width="11" style="1" bestFit="1" customWidth="1"/>
    <col min="26" max="26" width="12.33203125" style="1" bestFit="1" customWidth="1"/>
    <col min="27" max="27" width="8.5" style="1" bestFit="1" customWidth="1"/>
    <col min="28" max="28" width="10" style="1" bestFit="1" customWidth="1"/>
    <col min="29" max="29" width="10.33203125" style="1" bestFit="1" customWidth="1"/>
    <col min="30" max="30" width="8.83203125" style="3" bestFit="1" customWidth="1"/>
    <col min="31" max="31" width="10.83203125" style="1"/>
    <col min="32" max="32" width="15.83203125" style="1" bestFit="1" customWidth="1"/>
    <col min="33" max="16384" width="10.83203125" style="1"/>
  </cols>
  <sheetData>
    <row r="1" spans="1:25">
      <c r="A1" s="62" t="s">
        <v>152</v>
      </c>
      <c r="B1" s="62"/>
      <c r="C1" s="95"/>
      <c r="D1" s="298" t="s">
        <v>208</v>
      </c>
      <c r="E1" s="299"/>
      <c r="F1" s="299"/>
      <c r="G1" s="299"/>
      <c r="H1" s="300"/>
      <c r="I1" s="297" t="s">
        <v>132</v>
      </c>
      <c r="J1" s="297"/>
      <c r="K1" s="38" t="s">
        <v>153</v>
      </c>
      <c r="L1" s="465"/>
      <c r="N1" s="110"/>
      <c r="O1" s="110"/>
      <c r="P1" s="110"/>
    </row>
    <row r="2" spans="1:25">
      <c r="A2" s="66"/>
      <c r="B2" s="66"/>
      <c r="C2" s="67" t="s">
        <v>160</v>
      </c>
      <c r="D2" s="40" t="s">
        <v>221</v>
      </c>
      <c r="E2" s="40" t="s">
        <v>222</v>
      </c>
      <c r="F2" s="40" t="s">
        <v>223</v>
      </c>
      <c r="G2" s="40" t="s">
        <v>224</v>
      </c>
      <c r="H2" s="40" t="s">
        <v>225</v>
      </c>
      <c r="I2" s="7" t="s">
        <v>154</v>
      </c>
      <c r="J2" s="40" t="s">
        <v>155</v>
      </c>
      <c r="K2" s="45" t="s">
        <v>53</v>
      </c>
      <c r="L2" s="45" t="s">
        <v>427</v>
      </c>
      <c r="N2" s="110"/>
      <c r="O2" s="110"/>
      <c r="P2" s="110"/>
    </row>
    <row r="3" spans="1:25">
      <c r="A3" s="51"/>
      <c r="B3" s="51"/>
      <c r="C3" s="132" t="s">
        <v>161</v>
      </c>
      <c r="D3" s="8" t="s">
        <v>162</v>
      </c>
      <c r="E3" s="8" t="s">
        <v>238</v>
      </c>
      <c r="F3" s="8" t="s">
        <v>169</v>
      </c>
      <c r="G3" s="40" t="s">
        <v>216</v>
      </c>
      <c r="H3" s="8" t="s">
        <v>175</v>
      </c>
      <c r="I3" s="45" t="s">
        <v>39</v>
      </c>
      <c r="J3" s="40" t="s">
        <v>176</v>
      </c>
      <c r="K3" s="96"/>
      <c r="L3" s="465"/>
      <c r="N3" s="110"/>
      <c r="O3" s="110"/>
      <c r="P3" s="110"/>
    </row>
    <row r="4" spans="1:25">
      <c r="A4" s="27" t="s">
        <v>237</v>
      </c>
      <c r="B4" s="93"/>
      <c r="C4" s="78"/>
      <c r="D4" s="90" t="s">
        <v>172</v>
      </c>
      <c r="E4" s="91" t="s">
        <v>215</v>
      </c>
      <c r="F4" s="91" t="s">
        <v>214</v>
      </c>
      <c r="G4" s="91" t="s">
        <v>217</v>
      </c>
      <c r="H4" s="91" t="s">
        <v>218</v>
      </c>
      <c r="I4" s="91" t="s">
        <v>219</v>
      </c>
      <c r="J4" s="92" t="s">
        <v>220</v>
      </c>
      <c r="K4" s="85"/>
      <c r="L4" s="84"/>
    </row>
    <row r="5" spans="1:25">
      <c r="A5" s="72" t="s">
        <v>146</v>
      </c>
      <c r="B5" s="73"/>
      <c r="C5" s="73"/>
      <c r="D5" s="77">
        <v>20</v>
      </c>
      <c r="E5" s="77">
        <v>18</v>
      </c>
      <c r="F5" s="77">
        <v>19</v>
      </c>
      <c r="G5" s="77">
        <v>8</v>
      </c>
      <c r="H5" s="77">
        <v>10</v>
      </c>
      <c r="I5" s="77">
        <v>2</v>
      </c>
      <c r="J5" s="77">
        <v>1</v>
      </c>
      <c r="K5" s="133">
        <f>SUM(D5:J5)</f>
        <v>78</v>
      </c>
      <c r="L5" s="466">
        <v>10</v>
      </c>
      <c r="Y5" s="29"/>
    </row>
    <row r="6" spans="1:25">
      <c r="A6" s="69" t="s">
        <v>232</v>
      </c>
      <c r="B6" s="74"/>
      <c r="C6" s="74"/>
      <c r="D6" s="14">
        <f>4+3</f>
        <v>7</v>
      </c>
      <c r="E6" s="14">
        <f t="shared" ref="E6:F6" si="0">4+3</f>
        <v>7</v>
      </c>
      <c r="F6" s="14">
        <f t="shared" si="0"/>
        <v>7</v>
      </c>
      <c r="G6" s="14">
        <f>2+3</f>
        <v>5</v>
      </c>
      <c r="H6" s="14">
        <f>3+3</f>
        <v>6</v>
      </c>
      <c r="I6" s="14">
        <v>1</v>
      </c>
      <c r="J6" s="14">
        <v>1</v>
      </c>
      <c r="K6" s="86">
        <f>SUM(D6:J6)</f>
        <v>34</v>
      </c>
      <c r="L6" s="467"/>
    </row>
    <row r="7" spans="1:25">
      <c r="A7" s="70" t="s">
        <v>391</v>
      </c>
      <c r="B7" s="80"/>
      <c r="C7" s="80"/>
      <c r="D7" s="71">
        <f>D6+1</f>
        <v>8</v>
      </c>
      <c r="E7" s="71">
        <f>E6+1</f>
        <v>8</v>
      </c>
      <c r="F7" s="71">
        <f>F6+1</f>
        <v>8</v>
      </c>
      <c r="G7" s="71">
        <f>G6+1</f>
        <v>6</v>
      </c>
      <c r="H7" s="71">
        <f>H6+1</f>
        <v>7</v>
      </c>
      <c r="I7" s="71">
        <f t="shared" ref="I7:J7" si="1">I6+1</f>
        <v>2</v>
      </c>
      <c r="J7" s="71">
        <f t="shared" si="1"/>
        <v>2</v>
      </c>
      <c r="K7" s="87">
        <f>SUM(D7:J7)</f>
        <v>41</v>
      </c>
      <c r="L7" s="467"/>
    </row>
    <row r="8" spans="1:25">
      <c r="A8" s="70"/>
      <c r="B8" s="80"/>
      <c r="C8" s="80"/>
      <c r="D8" s="71"/>
      <c r="E8" s="71"/>
      <c r="F8" s="71"/>
      <c r="G8" s="71"/>
      <c r="H8" s="71"/>
      <c r="I8" s="71"/>
      <c r="J8" s="71"/>
      <c r="K8" s="87"/>
      <c r="L8" s="467"/>
    </row>
    <row r="9" spans="1:25">
      <c r="A9" s="51" t="s">
        <v>133</v>
      </c>
      <c r="B9" s="94"/>
      <c r="C9" s="75"/>
      <c r="D9" s="40" t="s">
        <v>221</v>
      </c>
      <c r="E9" s="40" t="s">
        <v>222</v>
      </c>
      <c r="F9" s="40" t="s">
        <v>223</v>
      </c>
      <c r="G9" s="40" t="s">
        <v>224</v>
      </c>
      <c r="H9" s="40" t="s">
        <v>225</v>
      </c>
      <c r="I9" s="7" t="s">
        <v>154</v>
      </c>
      <c r="J9" s="40" t="s">
        <v>155</v>
      </c>
      <c r="K9" s="84" t="s">
        <v>53</v>
      </c>
      <c r="L9" s="467"/>
      <c r="O9" s="20"/>
    </row>
    <row r="10" spans="1:25">
      <c r="A10" s="17" t="s">
        <v>127</v>
      </c>
      <c r="B10" s="17"/>
      <c r="C10" s="17"/>
      <c r="D10" s="18">
        <v>3</v>
      </c>
      <c r="E10" s="19">
        <v>5</v>
      </c>
      <c r="F10" s="19">
        <v>4</v>
      </c>
      <c r="G10" s="19">
        <v>2</v>
      </c>
      <c r="H10" s="19">
        <v>5</v>
      </c>
      <c r="I10" s="19">
        <v>8</v>
      </c>
      <c r="J10" s="19">
        <v>10</v>
      </c>
      <c r="K10" s="86">
        <f t="shared" ref="K10:K20" si="2">SUM(D10:J10)</f>
        <v>37</v>
      </c>
      <c r="L10" s="467"/>
    </row>
    <row r="11" spans="1:25">
      <c r="A11" s="12" t="s">
        <v>128</v>
      </c>
      <c r="B11" s="12"/>
      <c r="C11" s="12"/>
      <c r="D11" s="13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86">
        <f t="shared" si="2"/>
        <v>7</v>
      </c>
      <c r="L11" s="467"/>
    </row>
    <row r="12" spans="1:25">
      <c r="A12" s="12" t="s">
        <v>505</v>
      </c>
      <c r="B12" s="12"/>
      <c r="C12" s="12"/>
      <c r="D12" s="13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86">
        <f t="shared" si="2"/>
        <v>7</v>
      </c>
      <c r="L12" s="467"/>
    </row>
    <row r="13" spans="1:25">
      <c r="A13" s="12" t="s">
        <v>129</v>
      </c>
      <c r="B13" s="12"/>
      <c r="C13" s="12"/>
      <c r="D13" s="13">
        <v>0</v>
      </c>
      <c r="E13" s="14">
        <v>0</v>
      </c>
      <c r="F13" s="14">
        <v>0</v>
      </c>
      <c r="G13" s="14">
        <v>0</v>
      </c>
      <c r="H13" s="14">
        <v>0</v>
      </c>
      <c r="I13" s="14">
        <v>1</v>
      </c>
      <c r="J13" s="14">
        <v>1</v>
      </c>
      <c r="K13" s="86">
        <f t="shared" si="2"/>
        <v>2</v>
      </c>
      <c r="L13" s="467"/>
    </row>
    <row r="14" spans="1:25">
      <c r="A14" s="12" t="s">
        <v>501</v>
      </c>
      <c r="B14" s="12"/>
      <c r="C14" s="12"/>
      <c r="D14" s="13">
        <v>1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86">
        <f t="shared" si="2"/>
        <v>7</v>
      </c>
      <c r="L14" s="467"/>
    </row>
    <row r="15" spans="1:25">
      <c r="A15" s="12" t="s">
        <v>502</v>
      </c>
      <c r="B15" s="12"/>
      <c r="C15" s="12"/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86">
        <f t="shared" si="2"/>
        <v>7</v>
      </c>
      <c r="L15" s="467"/>
    </row>
    <row r="16" spans="1:25">
      <c r="A16" s="12" t="s">
        <v>503</v>
      </c>
      <c r="B16" s="12"/>
      <c r="C16" s="12"/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86">
        <f t="shared" si="2"/>
        <v>7</v>
      </c>
      <c r="L16" s="467"/>
    </row>
    <row r="17" spans="1:13">
      <c r="A17" s="12" t="s">
        <v>504</v>
      </c>
      <c r="B17" s="12"/>
      <c r="C17" s="12"/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86">
        <f t="shared" si="2"/>
        <v>7</v>
      </c>
      <c r="L17" s="467"/>
    </row>
    <row r="18" spans="1:13">
      <c r="A18" s="12" t="s">
        <v>506</v>
      </c>
      <c r="B18" s="12"/>
      <c r="C18" s="12"/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86">
        <f t="shared" si="2"/>
        <v>7</v>
      </c>
      <c r="L18" s="467"/>
    </row>
    <row r="19" spans="1:13">
      <c r="A19" s="12" t="s">
        <v>507</v>
      </c>
      <c r="B19" s="12"/>
      <c r="C19" s="12"/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86">
        <f t="shared" si="2"/>
        <v>7</v>
      </c>
      <c r="L19" s="467"/>
    </row>
    <row r="20" spans="1:13">
      <c r="A20" s="12" t="s">
        <v>508</v>
      </c>
      <c r="B20" s="12"/>
      <c r="C20" s="12"/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86">
        <f t="shared" si="2"/>
        <v>7</v>
      </c>
      <c r="L20" s="84"/>
    </row>
    <row r="21" spans="1:13">
      <c r="A21" s="55" t="s">
        <v>53</v>
      </c>
      <c r="B21" s="55"/>
      <c r="C21" s="56"/>
      <c r="D21" s="57">
        <f>SUM(D10:D20)</f>
        <v>12</v>
      </c>
      <c r="E21" s="57">
        <f>SUM(E10:E20)</f>
        <v>14</v>
      </c>
      <c r="F21" s="57">
        <f>SUM(F10:F20)</f>
        <v>13</v>
      </c>
      <c r="G21" s="57">
        <f>SUM(G10:G20)</f>
        <v>11</v>
      </c>
      <c r="H21" s="57">
        <f>SUM(H10:H20)</f>
        <v>14</v>
      </c>
      <c r="I21" s="57">
        <f>SUM(I10:I20)</f>
        <v>18</v>
      </c>
      <c r="J21" s="57">
        <f>SUM(J10:J20)</f>
        <v>20</v>
      </c>
      <c r="K21" s="88">
        <f>SUM(D21:H21)</f>
        <v>64</v>
      </c>
      <c r="L21" s="84"/>
    </row>
    <row r="23" spans="1:13">
      <c r="A23" s="46" t="s">
        <v>145</v>
      </c>
      <c r="B23" s="160" t="s">
        <v>393</v>
      </c>
      <c r="C23" s="38" t="s">
        <v>143</v>
      </c>
      <c r="D23" s="5" t="s">
        <v>221</v>
      </c>
      <c r="E23" s="5" t="s">
        <v>222</v>
      </c>
      <c r="F23" s="5" t="s">
        <v>223</v>
      </c>
      <c r="G23" s="5" t="s">
        <v>224</v>
      </c>
      <c r="H23" s="5" t="s">
        <v>225</v>
      </c>
      <c r="I23" s="38" t="s">
        <v>154</v>
      </c>
      <c r="J23" s="5" t="s">
        <v>155</v>
      </c>
      <c r="K23" s="38" t="s">
        <v>467</v>
      </c>
      <c r="L23" s="5" t="s">
        <v>427</v>
      </c>
      <c r="M23" s="38" t="s">
        <v>53</v>
      </c>
    </row>
    <row r="24" spans="1:13">
      <c r="A24" s="81" t="s">
        <v>134</v>
      </c>
      <c r="B24" s="166">
        <v>64100</v>
      </c>
      <c r="C24" s="163">
        <v>500</v>
      </c>
      <c r="D24" s="43">
        <f>$C24*D$6*D$10</f>
        <v>10500</v>
      </c>
      <c r="E24" s="43">
        <f>$C24*E$6*E$10</f>
        <v>17500</v>
      </c>
      <c r="F24" s="43">
        <f>$C24*F$6*F$10</f>
        <v>14000</v>
      </c>
      <c r="G24" s="43">
        <f>$C24*G$6*G$10</f>
        <v>5000</v>
      </c>
      <c r="H24" s="43">
        <f>$C24*H$6*H$10</f>
        <v>15000</v>
      </c>
      <c r="I24" s="43">
        <f>$C24*I$6*I$10</f>
        <v>4000</v>
      </c>
      <c r="J24" s="43">
        <f>$C24*J$6*J$10</f>
        <v>5000</v>
      </c>
      <c r="K24" s="155">
        <f t="shared" ref="K24:K35" si="3">SUM(D24:J24)</f>
        <v>71000</v>
      </c>
      <c r="L24" s="43">
        <v>62600</v>
      </c>
      <c r="M24" s="155">
        <f>K24+L24</f>
        <v>133600</v>
      </c>
    </row>
    <row r="25" spans="1:13">
      <c r="A25" s="69" t="s">
        <v>137</v>
      </c>
      <c r="B25" s="74">
        <v>64200</v>
      </c>
      <c r="C25" s="164">
        <f>C24*0.1054</f>
        <v>52.699999999999996</v>
      </c>
      <c r="D25" s="41">
        <f>$C25*D$6*D$10</f>
        <v>1106.6999999999998</v>
      </c>
      <c r="E25" s="41">
        <f t="shared" ref="E25:J25" si="4">$C25*E$6*E$10</f>
        <v>1844.5</v>
      </c>
      <c r="F25" s="41">
        <f t="shared" si="4"/>
        <v>1475.6</v>
      </c>
      <c r="G25" s="41">
        <f t="shared" si="4"/>
        <v>527</v>
      </c>
      <c r="H25" s="41">
        <f t="shared" si="4"/>
        <v>1581</v>
      </c>
      <c r="I25" s="41">
        <f t="shared" si="4"/>
        <v>421.59999999999997</v>
      </c>
      <c r="J25" s="41">
        <f t="shared" si="4"/>
        <v>527</v>
      </c>
      <c r="K25" s="42">
        <f>SUM(D25:J25)</f>
        <v>7483.4</v>
      </c>
      <c r="L25" s="41">
        <v>6598.04</v>
      </c>
      <c r="M25" s="42">
        <f t="shared" ref="M25:M35" si="5">K25+L25</f>
        <v>14081.439999999999</v>
      </c>
    </row>
    <row r="26" spans="1:13">
      <c r="A26" s="69" t="s">
        <v>135</v>
      </c>
      <c r="B26" s="74">
        <v>64300</v>
      </c>
      <c r="C26" s="164">
        <v>167</v>
      </c>
      <c r="D26" s="41">
        <f>$C26*D$6*D$10</f>
        <v>3507</v>
      </c>
      <c r="E26" s="41">
        <f>$C26*E$6*E$10</f>
        <v>5845</v>
      </c>
      <c r="F26" s="41">
        <f>$C26*F$6*F$10</f>
        <v>4676</v>
      </c>
      <c r="G26" s="41">
        <f>$C26*G$6*G$10</f>
        <v>1670</v>
      </c>
      <c r="H26" s="41">
        <f>$C26*H$6*H$10</f>
        <v>5010</v>
      </c>
      <c r="I26" s="41">
        <f>$C26*I$6*I$10</f>
        <v>1336</v>
      </c>
      <c r="J26" s="41">
        <f>$C26*J$6*J$10</f>
        <v>1670</v>
      </c>
      <c r="K26" s="42">
        <f t="shared" si="3"/>
        <v>23714</v>
      </c>
      <c r="L26" s="41">
        <v>0</v>
      </c>
      <c r="M26" s="42">
        <f t="shared" si="5"/>
        <v>23714</v>
      </c>
    </row>
    <row r="27" spans="1:13">
      <c r="A27" s="70" t="s">
        <v>136</v>
      </c>
      <c r="B27" s="80">
        <v>64300</v>
      </c>
      <c r="C27" s="165">
        <v>40</v>
      </c>
      <c r="D27" s="44">
        <f>$C27*D$6*D$10</f>
        <v>840</v>
      </c>
      <c r="E27" s="44">
        <f>$C27*E$6*E$10</f>
        <v>1400</v>
      </c>
      <c r="F27" s="44">
        <f>$C27*F$6*F$10</f>
        <v>1120</v>
      </c>
      <c r="G27" s="44">
        <f>$C27*G$6*G$10</f>
        <v>400</v>
      </c>
      <c r="H27" s="44">
        <f>$C27*H$6*H$10</f>
        <v>1200</v>
      </c>
      <c r="I27" s="44">
        <f>$C27*I$6*I$10</f>
        <v>320</v>
      </c>
      <c r="J27" s="44">
        <f>$C27*J$6*J$10</f>
        <v>400</v>
      </c>
      <c r="K27" s="162">
        <f t="shared" si="3"/>
        <v>5680</v>
      </c>
      <c r="L27" s="44">
        <v>0</v>
      </c>
      <c r="M27" s="162">
        <f t="shared" si="5"/>
        <v>5680</v>
      </c>
    </row>
    <row r="28" spans="1:13">
      <c r="A28" s="81" t="s">
        <v>139</v>
      </c>
      <c r="B28" s="17">
        <v>64100</v>
      </c>
      <c r="C28" s="24">
        <v>550</v>
      </c>
      <c r="D28" s="43">
        <f t="shared" ref="D28:J28" si="6">$C28*D$7*D$12</f>
        <v>4400</v>
      </c>
      <c r="E28" s="43">
        <f t="shared" si="6"/>
        <v>4400</v>
      </c>
      <c r="F28" s="43">
        <f t="shared" si="6"/>
        <v>4400</v>
      </c>
      <c r="G28" s="43">
        <f t="shared" si="6"/>
        <v>3300</v>
      </c>
      <c r="H28" s="43">
        <f t="shared" si="6"/>
        <v>3850</v>
      </c>
      <c r="I28" s="43">
        <f t="shared" si="6"/>
        <v>1100</v>
      </c>
      <c r="J28" s="43">
        <f t="shared" si="6"/>
        <v>1100</v>
      </c>
      <c r="K28" s="155">
        <f t="shared" si="3"/>
        <v>22550</v>
      </c>
      <c r="L28" s="43"/>
      <c r="M28" s="155">
        <f t="shared" si="5"/>
        <v>22550</v>
      </c>
    </row>
    <row r="29" spans="1:13">
      <c r="A29" s="69" t="s">
        <v>392</v>
      </c>
      <c r="B29" s="12">
        <v>64100</v>
      </c>
      <c r="C29" s="23">
        <f>C28/6</f>
        <v>91.666666666666671</v>
      </c>
      <c r="D29" s="41">
        <f t="shared" ref="D29:J29" si="7">$C29</f>
        <v>91.666666666666671</v>
      </c>
      <c r="E29" s="41">
        <f t="shared" si="7"/>
        <v>91.666666666666671</v>
      </c>
      <c r="F29" s="68">
        <f t="shared" si="7"/>
        <v>91.666666666666671</v>
      </c>
      <c r="G29" s="41">
        <f t="shared" si="7"/>
        <v>91.666666666666671</v>
      </c>
      <c r="H29" s="41">
        <f t="shared" si="7"/>
        <v>91.666666666666671</v>
      </c>
      <c r="I29" s="41">
        <f t="shared" si="7"/>
        <v>91.666666666666671</v>
      </c>
      <c r="J29" s="41">
        <f t="shared" si="7"/>
        <v>91.666666666666671</v>
      </c>
      <c r="K29" s="42">
        <f t="shared" si="3"/>
        <v>641.66666666666663</v>
      </c>
      <c r="L29" s="41"/>
      <c r="M29" s="42">
        <f t="shared" si="5"/>
        <v>641.66666666666663</v>
      </c>
    </row>
    <row r="30" spans="1:13">
      <c r="A30" s="69" t="s">
        <v>142</v>
      </c>
      <c r="B30" s="69">
        <v>64200</v>
      </c>
      <c r="C30" s="25">
        <f>C28*0.1054</f>
        <v>57.97</v>
      </c>
      <c r="D30" s="41">
        <f t="shared" ref="D30:J30" si="8">$C30*D$7*D$12</f>
        <v>463.76</v>
      </c>
      <c r="E30" s="41">
        <f t="shared" si="8"/>
        <v>463.76</v>
      </c>
      <c r="F30" s="41">
        <f t="shared" si="8"/>
        <v>463.76</v>
      </c>
      <c r="G30" s="41">
        <f t="shared" si="8"/>
        <v>347.82</v>
      </c>
      <c r="H30" s="41">
        <f t="shared" si="8"/>
        <v>405.78999999999996</v>
      </c>
      <c r="I30" s="41">
        <f t="shared" si="8"/>
        <v>115.94</v>
      </c>
      <c r="J30" s="41">
        <f t="shared" si="8"/>
        <v>115.94</v>
      </c>
      <c r="K30" s="42">
        <f>SUM(D30:J30)</f>
        <v>2376.77</v>
      </c>
      <c r="L30" s="41"/>
      <c r="M30" s="42">
        <f t="shared" si="5"/>
        <v>2376.77</v>
      </c>
    </row>
    <row r="31" spans="1:13">
      <c r="A31" s="69" t="s">
        <v>140</v>
      </c>
      <c r="B31" s="12">
        <v>64300</v>
      </c>
      <c r="C31" s="25">
        <v>167</v>
      </c>
      <c r="D31" s="41">
        <f>$C31*D$7*D$12</f>
        <v>1336</v>
      </c>
      <c r="E31" s="41">
        <f>$C31*E$7*E$12</f>
        <v>1336</v>
      </c>
      <c r="F31" s="41">
        <f>$C31*F$7*F$12</f>
        <v>1336</v>
      </c>
      <c r="G31" s="41">
        <f>$C31*G$7*G$12</f>
        <v>1002</v>
      </c>
      <c r="H31" s="41">
        <f>$C31*H$7*H$12</f>
        <v>1169</v>
      </c>
      <c r="I31" s="41">
        <f>$C31*I$7*I$12</f>
        <v>334</v>
      </c>
      <c r="J31" s="41">
        <f>$C31*J$7*J$12</f>
        <v>334</v>
      </c>
      <c r="K31" s="42">
        <f t="shared" si="3"/>
        <v>6847</v>
      </c>
      <c r="L31" s="41"/>
      <c r="M31" s="42">
        <f t="shared" si="5"/>
        <v>6847</v>
      </c>
    </row>
    <row r="32" spans="1:13">
      <c r="A32" s="70" t="s">
        <v>141</v>
      </c>
      <c r="B32" s="70">
        <v>64300</v>
      </c>
      <c r="C32" s="161">
        <f>C28*0.08</f>
        <v>44</v>
      </c>
      <c r="D32" s="44">
        <f>$C32*D$7*D$12</f>
        <v>352</v>
      </c>
      <c r="E32" s="44">
        <f>$C32*E$7*E$12</f>
        <v>352</v>
      </c>
      <c r="F32" s="44">
        <f>$C32*F$7*F$12</f>
        <v>352</v>
      </c>
      <c r="G32" s="44">
        <f>$C32*G$7*G$12</f>
        <v>264</v>
      </c>
      <c r="H32" s="44">
        <f>$C32*H$7*H$12</f>
        <v>308</v>
      </c>
      <c r="I32" s="44">
        <f>$C32*I$7*I$12</f>
        <v>88</v>
      </c>
      <c r="J32" s="44">
        <f>$C32*J$7*J$12</f>
        <v>88</v>
      </c>
      <c r="K32" s="162">
        <f t="shared" si="3"/>
        <v>1804</v>
      </c>
      <c r="L32" s="44"/>
      <c r="M32" s="162">
        <f t="shared" si="5"/>
        <v>1804</v>
      </c>
    </row>
    <row r="33" spans="1:32">
      <c r="A33" s="12" t="s">
        <v>138</v>
      </c>
      <c r="B33" s="69">
        <v>66300</v>
      </c>
      <c r="C33" s="22">
        <v>5000</v>
      </c>
      <c r="D33" s="41">
        <f t="shared" ref="D33:H35" si="9">$C33</f>
        <v>5000</v>
      </c>
      <c r="E33" s="41">
        <f t="shared" si="9"/>
        <v>5000</v>
      </c>
      <c r="F33" s="41">
        <f t="shared" si="9"/>
        <v>5000</v>
      </c>
      <c r="G33" s="41">
        <f t="shared" si="9"/>
        <v>5000</v>
      </c>
      <c r="H33" s="41">
        <f t="shared" si="9"/>
        <v>5000</v>
      </c>
      <c r="I33" s="41">
        <v>500</v>
      </c>
      <c r="J33" s="41">
        <v>500</v>
      </c>
      <c r="K33" s="50">
        <f t="shared" si="3"/>
        <v>26000</v>
      </c>
      <c r="L33" s="41"/>
      <c r="M33" s="50">
        <f t="shared" si="5"/>
        <v>26000</v>
      </c>
    </row>
    <row r="34" spans="1:32">
      <c r="A34" s="12" t="s">
        <v>395</v>
      </c>
      <c r="B34" s="69">
        <v>66300</v>
      </c>
      <c r="C34" s="22">
        <v>850</v>
      </c>
      <c r="D34" s="41">
        <f t="shared" si="9"/>
        <v>850</v>
      </c>
      <c r="E34" s="41">
        <f t="shared" si="9"/>
        <v>850</v>
      </c>
      <c r="F34" s="41">
        <f t="shared" si="9"/>
        <v>850</v>
      </c>
      <c r="G34" s="41">
        <f t="shared" si="9"/>
        <v>850</v>
      </c>
      <c r="H34" s="41">
        <f t="shared" si="9"/>
        <v>850</v>
      </c>
      <c r="I34" s="41"/>
      <c r="J34" s="41"/>
      <c r="K34" s="50">
        <f t="shared" si="3"/>
        <v>4250</v>
      </c>
      <c r="L34" s="41"/>
      <c r="M34" s="50">
        <f t="shared" si="5"/>
        <v>4250</v>
      </c>
    </row>
    <row r="35" spans="1:32">
      <c r="A35" s="12" t="s">
        <v>394</v>
      </c>
      <c r="B35" s="70">
        <v>66300</v>
      </c>
      <c r="C35" s="22">
        <f>C33*0.09</f>
        <v>450</v>
      </c>
      <c r="D35" s="41">
        <f t="shared" si="9"/>
        <v>450</v>
      </c>
      <c r="E35" s="41">
        <f t="shared" si="9"/>
        <v>450</v>
      </c>
      <c r="F35" s="41">
        <f t="shared" si="9"/>
        <v>450</v>
      </c>
      <c r="G35" s="41">
        <f t="shared" si="9"/>
        <v>450</v>
      </c>
      <c r="H35" s="41">
        <f t="shared" si="9"/>
        <v>450</v>
      </c>
      <c r="I35" s="41"/>
      <c r="J35" s="41"/>
      <c r="K35" s="50">
        <f t="shared" si="3"/>
        <v>2250</v>
      </c>
      <c r="L35" s="41"/>
      <c r="M35" s="50">
        <f t="shared" si="5"/>
        <v>2250</v>
      </c>
    </row>
    <row r="36" spans="1:32">
      <c r="A36" s="2" t="s">
        <v>53</v>
      </c>
      <c r="B36" s="2"/>
      <c r="C36" s="26"/>
      <c r="D36" s="33">
        <f t="shared" ref="D36" si="10">SUM(D24:D35)</f>
        <v>28897.126666666667</v>
      </c>
      <c r="E36" s="33">
        <f t="shared" ref="E36" si="11">SUM(E24:E35)</f>
        <v>39532.926666666666</v>
      </c>
      <c r="F36" s="33">
        <f t="shared" ref="F36" si="12">SUM(F24:F35)</f>
        <v>34215.026666666665</v>
      </c>
      <c r="G36" s="33">
        <f t="shared" ref="G36" si="13">SUM(G24:G35)</f>
        <v>18902.486666666664</v>
      </c>
      <c r="H36" s="33">
        <f t="shared" ref="H36" si="14">SUM(H24:H35)</f>
        <v>34915.456666666665</v>
      </c>
      <c r="I36" s="33">
        <f t="shared" ref="I36" si="15">SUM(I24:I35)</f>
        <v>8307.2066666666669</v>
      </c>
      <c r="J36" s="33">
        <f t="shared" ref="J36" si="16">SUM(J24:J35)</f>
        <v>9826.6066666666666</v>
      </c>
      <c r="K36" s="33">
        <f t="shared" ref="K36" si="17">SUM(K24:K35)</f>
        <v>174596.83666666667</v>
      </c>
      <c r="L36" s="33">
        <f t="shared" ref="L36" si="18">SUM(L24:L35)</f>
        <v>69198.039999999994</v>
      </c>
      <c r="M36" s="33">
        <f t="shared" ref="M36" si="19">SUM(M24:M35)</f>
        <v>243794.87666666665</v>
      </c>
      <c r="N36" s="134"/>
    </row>
    <row r="37" spans="1:32">
      <c r="D37" s="101"/>
      <c r="M37" s="89"/>
    </row>
    <row r="38" spans="1:32">
      <c r="A38" s="27" t="s">
        <v>399</v>
      </c>
      <c r="B38" s="27"/>
      <c r="C38" s="27"/>
      <c r="D38" s="8" t="s">
        <v>221</v>
      </c>
      <c r="E38" s="8" t="s">
        <v>222</v>
      </c>
      <c r="F38" s="8" t="s">
        <v>223</v>
      </c>
      <c r="G38" s="8" t="s">
        <v>224</v>
      </c>
      <c r="H38" s="8" t="s">
        <v>225</v>
      </c>
      <c r="I38" s="7" t="s">
        <v>154</v>
      </c>
      <c r="J38" s="8" t="s">
        <v>155</v>
      </c>
      <c r="K38" s="7" t="s">
        <v>467</v>
      </c>
      <c r="L38" s="7" t="s">
        <v>427</v>
      </c>
      <c r="M38" s="7" t="s">
        <v>53</v>
      </c>
    </row>
    <row r="39" spans="1:32">
      <c r="A39" s="28" t="s">
        <v>396</v>
      </c>
      <c r="B39" s="28"/>
      <c r="C39" s="28"/>
      <c r="D39" s="41">
        <f t="shared" ref="D39:J39" si="20">D24+D28+D29</f>
        <v>14991.666666666666</v>
      </c>
      <c r="E39" s="41">
        <f t="shared" si="20"/>
        <v>21991.666666666668</v>
      </c>
      <c r="F39" s="41">
        <f t="shared" si="20"/>
        <v>18491.666666666668</v>
      </c>
      <c r="G39" s="41">
        <f t="shared" si="20"/>
        <v>8391.6666666666661</v>
      </c>
      <c r="H39" s="41">
        <f t="shared" si="20"/>
        <v>18941.666666666668</v>
      </c>
      <c r="I39" s="41">
        <f t="shared" si="20"/>
        <v>5191.666666666667</v>
      </c>
      <c r="J39" s="41">
        <f t="shared" si="20"/>
        <v>6191.666666666667</v>
      </c>
      <c r="K39" s="42">
        <f>SUM(D39:J39)</f>
        <v>94191.666666666672</v>
      </c>
      <c r="L39" s="41">
        <f>L24</f>
        <v>62600</v>
      </c>
      <c r="M39" s="50">
        <f t="shared" ref="M39:M45" si="21">K39+L39</f>
        <v>156791.66666666669</v>
      </c>
      <c r="S39" s="29"/>
      <c r="AF39" s="29"/>
    </row>
    <row r="40" spans="1:32">
      <c r="A40" s="30" t="s">
        <v>397</v>
      </c>
      <c r="B40" s="30"/>
      <c r="C40" s="30"/>
      <c r="D40" s="41">
        <f t="shared" ref="D40:J40" si="22">D25+D30</f>
        <v>1570.4599999999998</v>
      </c>
      <c r="E40" s="41">
        <f t="shared" si="22"/>
        <v>2308.2600000000002</v>
      </c>
      <c r="F40" s="41">
        <f t="shared" si="22"/>
        <v>1939.36</v>
      </c>
      <c r="G40" s="41">
        <f t="shared" si="22"/>
        <v>874.81999999999994</v>
      </c>
      <c r="H40" s="41">
        <f t="shared" si="22"/>
        <v>1986.79</v>
      </c>
      <c r="I40" s="41">
        <f t="shared" si="22"/>
        <v>537.54</v>
      </c>
      <c r="J40" s="41">
        <f t="shared" si="22"/>
        <v>642.94000000000005</v>
      </c>
      <c r="K40" s="42">
        <f>SUM(D40:J40)</f>
        <v>9860.17</v>
      </c>
      <c r="L40" s="41">
        <f>L25</f>
        <v>6598.04</v>
      </c>
      <c r="M40" s="50">
        <f t="shared" si="21"/>
        <v>16458.21</v>
      </c>
    </row>
    <row r="41" spans="1:32">
      <c r="A41" s="30" t="s">
        <v>408</v>
      </c>
      <c r="B41" s="30"/>
      <c r="C41" s="30"/>
      <c r="D41" s="41">
        <f>D26+D27+D31+D32</f>
        <v>6035</v>
      </c>
      <c r="E41" s="41">
        <f t="shared" ref="E41:J41" si="23">E26+E27+E31+E32</f>
        <v>8933</v>
      </c>
      <c r="F41" s="41">
        <f t="shared" si="23"/>
        <v>7484</v>
      </c>
      <c r="G41" s="41">
        <f t="shared" si="23"/>
        <v>3336</v>
      </c>
      <c r="H41" s="41">
        <f t="shared" si="23"/>
        <v>7687</v>
      </c>
      <c r="I41" s="41">
        <f t="shared" si="23"/>
        <v>2078</v>
      </c>
      <c r="J41" s="41">
        <f t="shared" si="23"/>
        <v>2492</v>
      </c>
      <c r="K41" s="42">
        <f>SUM(D41:J41)</f>
        <v>38045</v>
      </c>
      <c r="L41" s="41"/>
      <c r="M41" s="50">
        <f t="shared" si="21"/>
        <v>38045</v>
      </c>
    </row>
    <row r="42" spans="1:32">
      <c r="A42" s="27" t="s">
        <v>400</v>
      </c>
      <c r="B42" s="27"/>
      <c r="C42" s="26"/>
      <c r="D42" s="32">
        <f t="shared" ref="D42:M42" si="24">SUM(D39:D41)</f>
        <v>22597.126666666667</v>
      </c>
      <c r="E42" s="32">
        <f t="shared" si="24"/>
        <v>33232.926666666666</v>
      </c>
      <c r="F42" s="32">
        <f t="shared" si="24"/>
        <v>27915.026666666668</v>
      </c>
      <c r="G42" s="32">
        <f t="shared" si="24"/>
        <v>12602.486666666666</v>
      </c>
      <c r="H42" s="32">
        <f t="shared" si="24"/>
        <v>28615.456666666669</v>
      </c>
      <c r="I42" s="32">
        <f t="shared" si="24"/>
        <v>7807.2066666666669</v>
      </c>
      <c r="J42" s="32">
        <f t="shared" si="24"/>
        <v>9326.6066666666666</v>
      </c>
      <c r="K42" s="32">
        <f t="shared" si="24"/>
        <v>142096.83666666667</v>
      </c>
      <c r="L42" s="32">
        <f t="shared" si="24"/>
        <v>69198.039999999994</v>
      </c>
      <c r="M42" s="32">
        <f t="shared" si="24"/>
        <v>211294.87666666668</v>
      </c>
    </row>
    <row r="43" spans="1:32">
      <c r="A43" s="124" t="s">
        <v>433</v>
      </c>
      <c r="B43" s="144"/>
      <c r="C43" s="145"/>
      <c r="D43" s="137"/>
      <c r="E43" s="137"/>
      <c r="F43" s="137"/>
      <c r="G43" s="137"/>
      <c r="H43" s="147"/>
      <c r="I43" s="137"/>
      <c r="J43" s="137"/>
      <c r="K43" s="42">
        <f>SUM(D43:J43)</f>
        <v>0</v>
      </c>
      <c r="L43" s="141">
        <v>1000</v>
      </c>
      <c r="M43" s="50">
        <f t="shared" si="21"/>
        <v>1000</v>
      </c>
    </row>
    <row r="44" spans="1:32">
      <c r="A44" s="126" t="s">
        <v>434</v>
      </c>
      <c r="B44" s="142"/>
      <c r="C44" s="143"/>
      <c r="D44" s="140"/>
      <c r="E44" s="140"/>
      <c r="F44" s="140"/>
      <c r="G44" s="140"/>
      <c r="H44" s="148"/>
      <c r="I44" s="140"/>
      <c r="J44" s="140"/>
      <c r="K44" s="42">
        <f>SUM(D44:J44)</f>
        <v>0</v>
      </c>
      <c r="L44" s="138">
        <v>1000</v>
      </c>
      <c r="M44" s="50">
        <f t="shared" si="21"/>
        <v>1000</v>
      </c>
    </row>
    <row r="45" spans="1:32">
      <c r="A45" s="126" t="s">
        <v>398</v>
      </c>
      <c r="B45" s="142"/>
      <c r="C45" s="143"/>
      <c r="D45" s="138">
        <f>SUM(D33:D35)</f>
        <v>6300</v>
      </c>
      <c r="E45" s="138">
        <f t="shared" ref="E45:J45" si="25">SUM(E33:E35)</f>
        <v>6300</v>
      </c>
      <c r="F45" s="138">
        <f t="shared" si="25"/>
        <v>6300</v>
      </c>
      <c r="G45" s="138">
        <f t="shared" si="25"/>
        <v>6300</v>
      </c>
      <c r="H45" s="138">
        <f t="shared" si="25"/>
        <v>6300</v>
      </c>
      <c r="I45" s="138">
        <f t="shared" si="25"/>
        <v>500</v>
      </c>
      <c r="J45" s="138">
        <f t="shared" si="25"/>
        <v>500</v>
      </c>
      <c r="K45" s="42">
        <f>SUM(D45:J45)</f>
        <v>32500</v>
      </c>
      <c r="L45" s="139">
        <v>4000</v>
      </c>
      <c r="M45" s="50">
        <f t="shared" si="21"/>
        <v>36500</v>
      </c>
    </row>
    <row r="46" spans="1:32">
      <c r="A46" s="27" t="s">
        <v>148</v>
      </c>
      <c r="B46" s="93"/>
      <c r="C46" s="146"/>
      <c r="D46" s="32">
        <f>SUM(D42:D45)</f>
        <v>28897.126666666667</v>
      </c>
      <c r="E46" s="32">
        <f t="shared" ref="E46:M46" si="26">SUM(E42:E45)</f>
        <v>39532.926666666666</v>
      </c>
      <c r="F46" s="32">
        <f t="shared" si="26"/>
        <v>34215.026666666672</v>
      </c>
      <c r="G46" s="32">
        <f t="shared" si="26"/>
        <v>18902.486666666664</v>
      </c>
      <c r="H46" s="32">
        <f t="shared" si="26"/>
        <v>34915.456666666665</v>
      </c>
      <c r="I46" s="32">
        <f t="shared" si="26"/>
        <v>8307.2066666666669</v>
      </c>
      <c r="J46" s="32">
        <f t="shared" si="26"/>
        <v>9826.6066666666666</v>
      </c>
      <c r="K46" s="32">
        <f t="shared" ref="K46" si="27">SUM(K43:K45)</f>
        <v>32500</v>
      </c>
      <c r="L46" s="32">
        <f t="shared" si="26"/>
        <v>75198.039999999994</v>
      </c>
      <c r="M46" s="32">
        <f t="shared" si="26"/>
        <v>249794.87666666668</v>
      </c>
    </row>
    <row r="47" spans="1:32">
      <c r="L47" s="1"/>
      <c r="M47" s="89"/>
      <c r="O47" s="34"/>
      <c r="P47" s="34"/>
      <c r="Q47" s="34"/>
      <c r="R47" s="34"/>
    </row>
    <row r="48" spans="1:32">
      <c r="A48" s="2" t="s">
        <v>149</v>
      </c>
      <c r="B48" s="27"/>
      <c r="C48" s="7" t="s">
        <v>143</v>
      </c>
      <c r="D48" s="8" t="s">
        <v>221</v>
      </c>
      <c r="E48" s="8" t="s">
        <v>222</v>
      </c>
      <c r="F48" s="8" t="s">
        <v>223</v>
      </c>
      <c r="G48" s="8" t="s">
        <v>224</v>
      </c>
      <c r="H48" s="8" t="s">
        <v>225</v>
      </c>
      <c r="I48" s="7" t="s">
        <v>154</v>
      </c>
      <c r="J48" s="8" t="s">
        <v>155</v>
      </c>
      <c r="K48" s="7" t="s">
        <v>467</v>
      </c>
      <c r="L48" s="7" t="s">
        <v>427</v>
      </c>
      <c r="M48" s="7" t="s">
        <v>53</v>
      </c>
      <c r="N48" s="48"/>
      <c r="O48" s="39"/>
      <c r="P48" s="39"/>
      <c r="Q48" s="39"/>
      <c r="R48" s="39"/>
    </row>
    <row r="49" spans="1:21">
      <c r="A49" s="1" t="s">
        <v>192</v>
      </c>
      <c r="B49" s="28"/>
      <c r="C49" s="49"/>
      <c r="D49" s="10">
        <v>20000</v>
      </c>
      <c r="E49" s="10">
        <v>20000</v>
      </c>
      <c r="F49" s="10">
        <f>($C49/5)+25000</f>
        <v>25000</v>
      </c>
      <c r="G49" s="10">
        <v>20000</v>
      </c>
      <c r="H49" s="10">
        <v>20000</v>
      </c>
      <c r="I49" s="10">
        <v>5000</v>
      </c>
      <c r="J49" s="10"/>
      <c r="K49" s="42">
        <f t="shared" ref="K49:K60" si="28">SUM(D49:J49)</f>
        <v>110000</v>
      </c>
      <c r="L49" s="10">
        <v>20000</v>
      </c>
      <c r="M49" s="50">
        <f t="shared" ref="M49:M60" si="29">K49+L49</f>
        <v>130000</v>
      </c>
      <c r="O49" s="20"/>
      <c r="P49" s="20"/>
      <c r="Q49" s="20"/>
      <c r="R49" s="134"/>
    </row>
    <row r="50" spans="1:21">
      <c r="A50" s="1" t="s">
        <v>193</v>
      </c>
      <c r="B50" s="28"/>
      <c r="C50" s="58">
        <v>300</v>
      </c>
      <c r="D50" s="10">
        <f t="shared" ref="D50:J50" si="30">D21*$C50</f>
        <v>3600</v>
      </c>
      <c r="E50" s="10">
        <f t="shared" si="30"/>
        <v>4200</v>
      </c>
      <c r="F50" s="10">
        <f t="shared" si="30"/>
        <v>3900</v>
      </c>
      <c r="G50" s="10">
        <f t="shared" si="30"/>
        <v>3300</v>
      </c>
      <c r="H50" s="10">
        <f t="shared" si="30"/>
        <v>4200</v>
      </c>
      <c r="I50" s="10">
        <f t="shared" si="30"/>
        <v>5400</v>
      </c>
      <c r="J50" s="10">
        <f t="shared" si="30"/>
        <v>6000</v>
      </c>
      <c r="K50" s="42">
        <f t="shared" si="28"/>
        <v>30600</v>
      </c>
      <c r="L50" s="10">
        <v>2000</v>
      </c>
      <c r="M50" s="50">
        <f t="shared" si="29"/>
        <v>32600</v>
      </c>
      <c r="O50" s="20"/>
      <c r="P50" s="20"/>
      <c r="Q50" s="20"/>
      <c r="R50" s="134"/>
    </row>
    <row r="51" spans="1:21">
      <c r="A51" s="1" t="s">
        <v>194</v>
      </c>
      <c r="B51" s="28"/>
      <c r="C51" s="58">
        <v>5000</v>
      </c>
      <c r="D51" s="10">
        <f>$C51</f>
        <v>5000</v>
      </c>
      <c r="E51" s="10">
        <f t="shared" ref="E51:J60" si="31">$C51</f>
        <v>5000</v>
      </c>
      <c r="F51" s="10">
        <f t="shared" si="31"/>
        <v>5000</v>
      </c>
      <c r="G51" s="10">
        <f t="shared" si="31"/>
        <v>5000</v>
      </c>
      <c r="H51" s="10">
        <f t="shared" si="31"/>
        <v>5000</v>
      </c>
      <c r="I51" s="10"/>
      <c r="J51" s="10"/>
      <c r="K51" s="42">
        <f t="shared" si="28"/>
        <v>25000</v>
      </c>
      <c r="L51" s="10">
        <v>2000</v>
      </c>
      <c r="M51" s="50">
        <f t="shared" si="29"/>
        <v>27000</v>
      </c>
      <c r="O51" s="20"/>
      <c r="P51" s="20"/>
      <c r="Q51" s="20"/>
      <c r="R51" s="134"/>
    </row>
    <row r="52" spans="1:21">
      <c r="A52" s="1" t="s">
        <v>195</v>
      </c>
      <c r="B52" s="28"/>
      <c r="C52" s="58">
        <v>3500</v>
      </c>
      <c r="D52" s="10">
        <f>$C52</f>
        <v>3500</v>
      </c>
      <c r="E52" s="10">
        <f t="shared" si="31"/>
        <v>3500</v>
      </c>
      <c r="F52" s="10">
        <f t="shared" si="31"/>
        <v>3500</v>
      </c>
      <c r="G52" s="10">
        <f t="shared" si="31"/>
        <v>3500</v>
      </c>
      <c r="H52" s="10">
        <f t="shared" si="31"/>
        <v>3500</v>
      </c>
      <c r="I52" s="10"/>
      <c r="J52" s="10"/>
      <c r="K52" s="42">
        <f t="shared" si="28"/>
        <v>17500</v>
      </c>
      <c r="L52" s="10"/>
      <c r="M52" s="50">
        <f t="shared" si="29"/>
        <v>17500</v>
      </c>
      <c r="O52" s="20"/>
      <c r="P52" s="20"/>
      <c r="Q52" s="20"/>
      <c r="R52" s="134"/>
    </row>
    <row r="53" spans="1:21">
      <c r="A53" s="1" t="s">
        <v>196</v>
      </c>
      <c r="B53" s="28"/>
      <c r="C53" s="58">
        <v>4750</v>
      </c>
      <c r="D53" s="10">
        <f>$C53</f>
        <v>4750</v>
      </c>
      <c r="E53" s="10">
        <f t="shared" si="31"/>
        <v>4750</v>
      </c>
      <c r="F53" s="10">
        <f t="shared" si="31"/>
        <v>4750</v>
      </c>
      <c r="G53" s="10">
        <f t="shared" si="31"/>
        <v>4750</v>
      </c>
      <c r="H53" s="10">
        <f t="shared" si="31"/>
        <v>4750</v>
      </c>
      <c r="I53" s="10"/>
      <c r="J53" s="10"/>
      <c r="K53" s="42">
        <f t="shared" si="28"/>
        <v>23750</v>
      </c>
      <c r="L53" s="10"/>
      <c r="M53" s="50">
        <f t="shared" si="29"/>
        <v>23750</v>
      </c>
      <c r="O53" s="20"/>
      <c r="P53" s="20"/>
      <c r="Q53" s="20"/>
      <c r="R53" s="134"/>
    </row>
    <row r="54" spans="1:21">
      <c r="A54" s="1" t="s">
        <v>197</v>
      </c>
      <c r="B54" s="28"/>
      <c r="C54" s="58">
        <v>250</v>
      </c>
      <c r="D54" s="10">
        <f t="shared" ref="D54:D60" si="32">$C54</f>
        <v>250</v>
      </c>
      <c r="E54" s="10">
        <f t="shared" si="31"/>
        <v>250</v>
      </c>
      <c r="F54" s="10">
        <f t="shared" si="31"/>
        <v>250</v>
      </c>
      <c r="G54" s="10">
        <f t="shared" si="31"/>
        <v>250</v>
      </c>
      <c r="H54" s="10">
        <f t="shared" si="31"/>
        <v>250</v>
      </c>
      <c r="I54" s="10"/>
      <c r="J54" s="10"/>
      <c r="K54" s="42">
        <f t="shared" si="28"/>
        <v>1250</v>
      </c>
      <c r="L54" s="10"/>
      <c r="M54" s="50">
        <f t="shared" si="29"/>
        <v>1250</v>
      </c>
      <c r="O54" s="20"/>
      <c r="P54" s="20"/>
      <c r="Q54" s="20"/>
      <c r="R54" s="134"/>
    </row>
    <row r="55" spans="1:21">
      <c r="A55" s="1" t="s">
        <v>198</v>
      </c>
      <c r="B55" s="28"/>
      <c r="C55" s="58">
        <v>1000</v>
      </c>
      <c r="D55" s="10">
        <f t="shared" si="32"/>
        <v>1000</v>
      </c>
      <c r="E55" s="10">
        <f t="shared" si="31"/>
        <v>1000</v>
      </c>
      <c r="F55" s="10">
        <f t="shared" si="31"/>
        <v>1000</v>
      </c>
      <c r="G55" s="10">
        <f t="shared" si="31"/>
        <v>1000</v>
      </c>
      <c r="H55" s="10">
        <f t="shared" si="31"/>
        <v>1000</v>
      </c>
      <c r="I55" s="10"/>
      <c r="J55" s="10"/>
      <c r="K55" s="42">
        <f t="shared" si="28"/>
        <v>5000</v>
      </c>
      <c r="L55" s="10">
        <v>500</v>
      </c>
      <c r="M55" s="50">
        <f t="shared" si="29"/>
        <v>5500</v>
      </c>
      <c r="O55" s="20"/>
      <c r="P55" s="20"/>
      <c r="Q55" s="20"/>
      <c r="R55" s="134"/>
    </row>
    <row r="56" spans="1:21">
      <c r="A56" s="1" t="s">
        <v>199</v>
      </c>
      <c r="B56" s="28"/>
      <c r="C56" s="58">
        <v>1500</v>
      </c>
      <c r="D56" s="10">
        <f t="shared" si="32"/>
        <v>1500</v>
      </c>
      <c r="E56" s="10">
        <f t="shared" si="31"/>
        <v>1500</v>
      </c>
      <c r="F56" s="10">
        <f t="shared" si="31"/>
        <v>1500</v>
      </c>
      <c r="G56" s="10">
        <f t="shared" si="31"/>
        <v>1500</v>
      </c>
      <c r="H56" s="10">
        <f t="shared" si="31"/>
        <v>1500</v>
      </c>
      <c r="I56" s="10"/>
      <c r="J56" s="10"/>
      <c r="K56" s="42">
        <f t="shared" si="28"/>
        <v>7500</v>
      </c>
      <c r="L56" s="10">
        <v>2000</v>
      </c>
      <c r="M56" s="50">
        <f t="shared" si="29"/>
        <v>9500</v>
      </c>
      <c r="O56" s="20"/>
      <c r="P56" s="20"/>
      <c r="Q56" s="20"/>
      <c r="R56" s="134"/>
    </row>
    <row r="57" spans="1:21">
      <c r="A57" s="1" t="s">
        <v>200</v>
      </c>
      <c r="B57" s="28"/>
      <c r="C57" s="58">
        <v>500</v>
      </c>
      <c r="D57" s="10">
        <f t="shared" si="32"/>
        <v>500</v>
      </c>
      <c r="E57" s="10">
        <f t="shared" si="31"/>
        <v>500</v>
      </c>
      <c r="F57" s="10">
        <f t="shared" si="31"/>
        <v>500</v>
      </c>
      <c r="G57" s="10">
        <f t="shared" si="31"/>
        <v>500</v>
      </c>
      <c r="H57" s="10">
        <f t="shared" si="31"/>
        <v>500</v>
      </c>
      <c r="I57" s="10">
        <f t="shared" si="31"/>
        <v>500</v>
      </c>
      <c r="J57" s="10">
        <f t="shared" si="31"/>
        <v>500</v>
      </c>
      <c r="K57" s="42">
        <f t="shared" si="28"/>
        <v>3500</v>
      </c>
      <c r="L57" s="10">
        <v>1000</v>
      </c>
      <c r="M57" s="50">
        <f t="shared" si="29"/>
        <v>4500</v>
      </c>
      <c r="O57" s="20"/>
      <c r="P57" s="20"/>
      <c r="Q57" s="20"/>
      <c r="R57" s="134"/>
    </row>
    <row r="58" spans="1:21">
      <c r="A58" s="1" t="s">
        <v>201</v>
      </c>
      <c r="B58" s="28"/>
      <c r="C58" s="58">
        <v>600</v>
      </c>
      <c r="D58" s="10">
        <f t="shared" si="32"/>
        <v>600</v>
      </c>
      <c r="E58" s="10">
        <f t="shared" si="31"/>
        <v>600</v>
      </c>
      <c r="F58" s="10">
        <f t="shared" si="31"/>
        <v>600</v>
      </c>
      <c r="G58" s="10">
        <f t="shared" si="31"/>
        <v>600</v>
      </c>
      <c r="H58" s="10">
        <f t="shared" si="31"/>
        <v>600</v>
      </c>
      <c r="I58" s="10"/>
      <c r="J58" s="10"/>
      <c r="K58" s="42">
        <f t="shared" si="28"/>
        <v>3000</v>
      </c>
      <c r="L58" s="10"/>
      <c r="M58" s="50">
        <f t="shared" si="29"/>
        <v>3000</v>
      </c>
      <c r="O58" s="20"/>
      <c r="P58" s="20"/>
      <c r="Q58" s="20"/>
      <c r="R58" s="134"/>
    </row>
    <row r="59" spans="1:21">
      <c r="A59" s="1" t="s">
        <v>202</v>
      </c>
      <c r="B59" s="28"/>
      <c r="C59" s="58">
        <v>0</v>
      </c>
      <c r="D59" s="10">
        <f t="shared" si="32"/>
        <v>0</v>
      </c>
      <c r="E59" s="10">
        <f t="shared" si="31"/>
        <v>0</v>
      </c>
      <c r="F59" s="10">
        <f t="shared" si="31"/>
        <v>0</v>
      </c>
      <c r="G59" s="10">
        <f t="shared" si="31"/>
        <v>0</v>
      </c>
      <c r="H59" s="10">
        <f t="shared" si="31"/>
        <v>0</v>
      </c>
      <c r="I59" s="10">
        <f t="shared" si="31"/>
        <v>0</v>
      </c>
      <c r="J59" s="10">
        <f t="shared" si="31"/>
        <v>0</v>
      </c>
      <c r="K59" s="42">
        <f t="shared" si="28"/>
        <v>0</v>
      </c>
      <c r="L59" s="10">
        <v>1000</v>
      </c>
      <c r="M59" s="50">
        <f t="shared" si="29"/>
        <v>1000</v>
      </c>
      <c r="O59" s="20"/>
      <c r="P59" s="20"/>
      <c r="Q59" s="20"/>
      <c r="R59" s="134"/>
    </row>
    <row r="60" spans="1:21">
      <c r="A60" s="1" t="s">
        <v>203</v>
      </c>
      <c r="B60" s="28"/>
      <c r="C60" s="58">
        <v>0</v>
      </c>
      <c r="D60" s="10">
        <f t="shared" si="32"/>
        <v>0</v>
      </c>
      <c r="E60" s="10">
        <f t="shared" si="31"/>
        <v>0</v>
      </c>
      <c r="F60" s="10">
        <f t="shared" si="31"/>
        <v>0</v>
      </c>
      <c r="G60" s="10">
        <f t="shared" si="31"/>
        <v>0</v>
      </c>
      <c r="H60" s="10">
        <f t="shared" si="31"/>
        <v>0</v>
      </c>
      <c r="I60" s="10">
        <f t="shared" si="31"/>
        <v>0</v>
      </c>
      <c r="J60" s="10">
        <f t="shared" si="31"/>
        <v>0</v>
      </c>
      <c r="K60" s="42">
        <f t="shared" si="28"/>
        <v>0</v>
      </c>
      <c r="L60" s="10">
        <v>5000</v>
      </c>
      <c r="M60" s="50">
        <f t="shared" si="29"/>
        <v>5000</v>
      </c>
      <c r="O60" s="20"/>
      <c r="P60" s="20"/>
      <c r="Q60" s="20"/>
      <c r="R60" s="134"/>
    </row>
    <row r="61" spans="1:21">
      <c r="A61" s="2" t="s">
        <v>150</v>
      </c>
      <c r="B61" s="27"/>
      <c r="C61" s="2"/>
      <c r="D61" s="33">
        <f>SUM(D49:D60)</f>
        <v>40700</v>
      </c>
      <c r="E61" s="33">
        <f t="shared" ref="E61:K61" si="33">SUM(E49:E60)</f>
        <v>41300</v>
      </c>
      <c r="F61" s="33">
        <f t="shared" si="33"/>
        <v>46000</v>
      </c>
      <c r="G61" s="33">
        <f t="shared" si="33"/>
        <v>40400</v>
      </c>
      <c r="H61" s="33">
        <f t="shared" si="33"/>
        <v>41300</v>
      </c>
      <c r="I61" s="33">
        <f t="shared" si="33"/>
        <v>10900</v>
      </c>
      <c r="J61" s="33">
        <f t="shared" si="33"/>
        <v>6500</v>
      </c>
      <c r="K61" s="33">
        <f t="shared" si="33"/>
        <v>227100</v>
      </c>
      <c r="L61" s="33">
        <f t="shared" ref="L61:M61" si="34">SUM(L49:L60)</f>
        <v>33500</v>
      </c>
      <c r="M61" s="33">
        <f t="shared" si="34"/>
        <v>260600</v>
      </c>
      <c r="O61" s="134"/>
      <c r="P61" s="134"/>
      <c r="Q61" s="134"/>
      <c r="R61" s="134"/>
    </row>
    <row r="62" spans="1:21">
      <c r="A62" s="2" t="s">
        <v>151</v>
      </c>
      <c r="B62" s="2"/>
      <c r="C62" s="2"/>
      <c r="D62" s="33">
        <f>D46+D61</f>
        <v>69597.126666666663</v>
      </c>
      <c r="E62" s="33">
        <f t="shared" ref="E62:K62" si="35">E46+E61</f>
        <v>80832.926666666666</v>
      </c>
      <c r="F62" s="33">
        <f t="shared" si="35"/>
        <v>80215.026666666672</v>
      </c>
      <c r="G62" s="33">
        <f t="shared" si="35"/>
        <v>59302.486666666664</v>
      </c>
      <c r="H62" s="33">
        <f t="shared" si="35"/>
        <v>76215.456666666665</v>
      </c>
      <c r="I62" s="33">
        <f t="shared" si="35"/>
        <v>19207.206666666665</v>
      </c>
      <c r="J62" s="33">
        <f t="shared" si="35"/>
        <v>16326.606666666667</v>
      </c>
      <c r="K62" s="33">
        <f t="shared" si="35"/>
        <v>259600</v>
      </c>
      <c r="L62" s="33">
        <f t="shared" ref="L62:M62" si="36">L46+L61</f>
        <v>108698.04</v>
      </c>
      <c r="M62" s="33">
        <f t="shared" si="36"/>
        <v>510394.87666666671</v>
      </c>
    </row>
    <row r="63" spans="1:21">
      <c r="L63" s="1"/>
    </row>
    <row r="64" spans="1:21">
      <c r="A64" s="35" t="s">
        <v>435</v>
      </c>
      <c r="B64" s="63"/>
      <c r="C64" s="63"/>
      <c r="D64" s="150"/>
      <c r="E64" s="150"/>
      <c r="F64" s="150"/>
      <c r="G64" s="150"/>
      <c r="H64" s="150"/>
      <c r="I64" s="63"/>
      <c r="J64" s="63"/>
      <c r="K64" s="151"/>
      <c r="L64" s="152">
        <v>2000</v>
      </c>
      <c r="U64" s="20"/>
    </row>
    <row r="65" spans="1:21">
      <c r="A65" s="15" t="s">
        <v>428</v>
      </c>
      <c r="B65" s="29"/>
      <c r="C65" s="29"/>
      <c r="D65" s="29"/>
      <c r="E65" s="29"/>
      <c r="F65" s="29"/>
      <c r="G65" s="29"/>
      <c r="H65" s="29"/>
      <c r="I65" s="29"/>
      <c r="J65" s="29"/>
      <c r="K65" s="47"/>
      <c r="L65" s="153">
        <v>1000</v>
      </c>
      <c r="U65" s="37"/>
    </row>
    <row r="66" spans="1:21">
      <c r="A66" s="15" t="s">
        <v>429</v>
      </c>
      <c r="B66" s="29"/>
      <c r="C66" s="29"/>
      <c r="D66" s="29"/>
      <c r="E66" s="29"/>
      <c r="F66" s="29"/>
      <c r="G66" s="29"/>
      <c r="H66" s="29"/>
      <c r="I66" s="29"/>
      <c r="J66" s="29"/>
      <c r="K66" s="47"/>
      <c r="L66" s="153">
        <v>1000</v>
      </c>
      <c r="U66" s="37"/>
    </row>
    <row r="67" spans="1:21">
      <c r="A67" s="15" t="s">
        <v>430</v>
      </c>
      <c r="B67" s="29"/>
      <c r="C67" s="29"/>
      <c r="D67" s="29"/>
      <c r="E67" s="29"/>
      <c r="F67" s="29"/>
      <c r="G67" s="29"/>
      <c r="H67" s="29"/>
      <c r="I67" s="29"/>
      <c r="J67" s="29"/>
      <c r="K67" s="47"/>
      <c r="L67" s="153">
        <v>1500</v>
      </c>
      <c r="M67" s="134"/>
      <c r="U67" s="37"/>
    </row>
    <row r="68" spans="1:21">
      <c r="A68" s="16"/>
      <c r="B68" s="36"/>
      <c r="C68" s="36"/>
      <c r="D68" s="36"/>
      <c r="E68" s="36"/>
      <c r="F68" s="36"/>
      <c r="G68" s="36"/>
      <c r="H68" s="36"/>
      <c r="I68" s="36"/>
      <c r="J68" s="36"/>
      <c r="K68" s="54"/>
      <c r="L68" s="100"/>
    </row>
    <row r="69" spans="1:21">
      <c r="L69" s="1"/>
    </row>
    <row r="70" spans="1:21">
      <c r="A70" s="2" t="s">
        <v>147</v>
      </c>
      <c r="B70" s="2"/>
      <c r="C70" s="6" t="s">
        <v>143</v>
      </c>
      <c r="D70" s="8" t="s">
        <v>221</v>
      </c>
      <c r="E70" s="8" t="s">
        <v>222</v>
      </c>
      <c r="F70" s="8" t="s">
        <v>223</v>
      </c>
      <c r="G70" s="8" t="s">
        <v>224</v>
      </c>
      <c r="H70" s="8" t="s">
        <v>225</v>
      </c>
      <c r="I70" s="7" t="s">
        <v>154</v>
      </c>
      <c r="J70" s="245" t="s">
        <v>155</v>
      </c>
      <c r="K70" s="7" t="s">
        <v>467</v>
      </c>
      <c r="L70" s="8" t="s">
        <v>427</v>
      </c>
      <c r="M70" s="7" t="s">
        <v>53</v>
      </c>
    </row>
    <row r="71" spans="1:21">
      <c r="A71" s="246" t="s">
        <v>130</v>
      </c>
      <c r="B71" s="156"/>
      <c r="C71" s="19"/>
      <c r="D71" s="252">
        <v>50</v>
      </c>
      <c r="E71" s="252">
        <v>50</v>
      </c>
      <c r="F71" s="252">
        <v>50</v>
      </c>
      <c r="G71" s="253">
        <v>50</v>
      </c>
      <c r="H71" s="252">
        <v>50</v>
      </c>
      <c r="I71" s="252">
        <v>35</v>
      </c>
      <c r="J71" s="252">
        <v>35</v>
      </c>
      <c r="K71" s="254"/>
      <c r="L71" s="259">
        <v>20</v>
      </c>
      <c r="M71" s="247"/>
    </row>
    <row r="72" spans="1:21">
      <c r="A72" s="246" t="s">
        <v>131</v>
      </c>
      <c r="B72" s="52"/>
      <c r="C72" s="52">
        <v>120</v>
      </c>
      <c r="D72" s="256">
        <v>0.6</v>
      </c>
      <c r="E72" s="256">
        <v>0.6</v>
      </c>
      <c r="F72" s="256">
        <v>0.6</v>
      </c>
      <c r="G72" s="257">
        <v>0.6</v>
      </c>
      <c r="H72" s="256">
        <v>0.6</v>
      </c>
      <c r="I72" s="256">
        <v>0.6</v>
      </c>
      <c r="J72" s="256">
        <v>0.6</v>
      </c>
      <c r="K72" s="255"/>
      <c r="L72" s="258">
        <v>0.6</v>
      </c>
      <c r="M72" s="248"/>
    </row>
    <row r="73" spans="1:21">
      <c r="A73" s="21" t="s">
        <v>407</v>
      </c>
      <c r="B73" s="76"/>
      <c r="C73" s="243"/>
      <c r="D73" s="11">
        <f>$C72*D72*D5</f>
        <v>1440</v>
      </c>
      <c r="E73" s="11">
        <f>$C72*E72*E5</f>
        <v>1296</v>
      </c>
      <c r="F73" s="11">
        <f>$C72*F72*F5</f>
        <v>1368</v>
      </c>
      <c r="G73" s="10">
        <f>$C72*G72*G5</f>
        <v>576</v>
      </c>
      <c r="H73" s="11">
        <f>$C72*H72*H5</f>
        <v>720</v>
      </c>
      <c r="I73" s="11">
        <f>$C72*I72*I5</f>
        <v>144</v>
      </c>
      <c r="J73" s="11">
        <f>$C72*J72*J5</f>
        <v>72</v>
      </c>
      <c r="K73" s="50">
        <f>SUM(D73:J73)</f>
        <v>5616</v>
      </c>
      <c r="L73" s="11"/>
      <c r="M73" s="248"/>
    </row>
    <row r="74" spans="1:21">
      <c r="A74" s="2" t="s">
        <v>236</v>
      </c>
      <c r="B74" s="6" t="s">
        <v>156</v>
      </c>
      <c r="C74" s="7" t="s">
        <v>143</v>
      </c>
      <c r="D74" s="8" t="s">
        <v>221</v>
      </c>
      <c r="E74" s="8" t="s">
        <v>222</v>
      </c>
      <c r="F74" s="8" t="s">
        <v>223</v>
      </c>
      <c r="G74" s="8" t="s">
        <v>224</v>
      </c>
      <c r="H74" s="8" t="s">
        <v>225</v>
      </c>
      <c r="I74" s="7" t="s">
        <v>154</v>
      </c>
      <c r="J74" s="8" t="s">
        <v>155</v>
      </c>
      <c r="K74" s="7" t="s">
        <v>467</v>
      </c>
      <c r="L74" s="8" t="s">
        <v>427</v>
      </c>
      <c r="M74" s="7" t="s">
        <v>53</v>
      </c>
    </row>
    <row r="75" spans="1:21">
      <c r="A75" s="97" t="s">
        <v>401</v>
      </c>
      <c r="B75" s="156"/>
      <c r="C75" s="19" t="s">
        <v>171</v>
      </c>
      <c r="D75" s="43">
        <f>D5*D$71*$C72*D$72</f>
        <v>72000</v>
      </c>
      <c r="E75" s="43">
        <f>E5*E$71*$C72*E$72</f>
        <v>64800</v>
      </c>
      <c r="F75" s="43">
        <f>F5*F$71*$C72*F$72</f>
        <v>68400</v>
      </c>
      <c r="G75" s="82">
        <f>G5*G$71*$C72*G$72</f>
        <v>28800</v>
      </c>
      <c r="H75" s="43">
        <f>H5*H$71*$C72*H$72</f>
        <v>36000</v>
      </c>
      <c r="I75" s="43">
        <f>I5*I$71*$C72*I$72</f>
        <v>5040</v>
      </c>
      <c r="J75" s="43">
        <f>J5*J$71*$C72*J$72</f>
        <v>2520</v>
      </c>
      <c r="K75" s="59">
        <f>SUM(D75:J75)</f>
        <v>277560</v>
      </c>
      <c r="L75" s="43">
        <v>23000</v>
      </c>
      <c r="M75" s="247">
        <f>K75+L75</f>
        <v>300560</v>
      </c>
      <c r="N75" s="238"/>
    </row>
    <row r="76" spans="1:21">
      <c r="A76" s="28" t="s">
        <v>431</v>
      </c>
      <c r="B76" s="52"/>
      <c r="C76" s="52"/>
      <c r="D76" s="52"/>
      <c r="E76" s="52"/>
      <c r="F76" s="52"/>
      <c r="G76" s="28"/>
      <c r="H76" s="52"/>
      <c r="I76" s="52"/>
      <c r="J76" s="52"/>
      <c r="K76" s="50">
        <f>SUM(D76:J76)</f>
        <v>0</v>
      </c>
      <c r="L76" s="153">
        <v>50000</v>
      </c>
      <c r="M76" s="248">
        <f>K76+L76</f>
        <v>50000</v>
      </c>
      <c r="U76" s="37"/>
    </row>
    <row r="77" spans="1:21">
      <c r="A77" s="126" t="s">
        <v>405</v>
      </c>
      <c r="B77" s="76" t="s">
        <v>406</v>
      </c>
      <c r="C77" s="249">
        <v>6</v>
      </c>
      <c r="D77" s="11">
        <f t="shared" ref="D77:J77" si="37">D73*$C77</f>
        <v>8640</v>
      </c>
      <c r="E77" s="11">
        <f t="shared" si="37"/>
        <v>7776</v>
      </c>
      <c r="F77" s="11">
        <f t="shared" si="37"/>
        <v>8208</v>
      </c>
      <c r="G77" s="10">
        <f t="shared" si="37"/>
        <v>3456</v>
      </c>
      <c r="H77" s="11">
        <f t="shared" si="37"/>
        <v>4320</v>
      </c>
      <c r="I77" s="11">
        <f t="shared" si="37"/>
        <v>864</v>
      </c>
      <c r="J77" s="11">
        <f t="shared" si="37"/>
        <v>432</v>
      </c>
      <c r="K77" s="50">
        <f>SUM(D77:J77)</f>
        <v>33696</v>
      </c>
      <c r="L77" s="11"/>
      <c r="M77" s="248">
        <f t="shared" ref="M77:M82" si="38">K77+L77</f>
        <v>33696</v>
      </c>
      <c r="U77" s="20"/>
    </row>
    <row r="78" spans="1:21">
      <c r="A78" s="28" t="s">
        <v>286</v>
      </c>
      <c r="B78" s="159">
        <v>40</v>
      </c>
      <c r="C78" s="244">
        <v>1500</v>
      </c>
      <c r="D78" s="11"/>
      <c r="E78" s="11"/>
      <c r="F78" s="11"/>
      <c r="G78" s="10"/>
      <c r="H78" s="11"/>
      <c r="I78" s="11"/>
      <c r="J78" s="11"/>
      <c r="K78" s="50">
        <f>C78*B78</f>
        <v>60000</v>
      </c>
      <c r="L78" s="11"/>
      <c r="M78" s="248">
        <f t="shared" si="38"/>
        <v>60000</v>
      </c>
      <c r="U78" s="20"/>
    </row>
    <row r="79" spans="1:21">
      <c r="A79" s="28" t="s">
        <v>403</v>
      </c>
      <c r="B79" s="52">
        <v>120</v>
      </c>
      <c r="C79" s="158">
        <v>1000</v>
      </c>
      <c r="D79" s="41"/>
      <c r="E79" s="41">
        <f>B79*C79</f>
        <v>120000</v>
      </c>
      <c r="F79" s="41"/>
      <c r="G79" s="83"/>
      <c r="H79" s="41"/>
      <c r="I79" s="41"/>
      <c r="J79" s="41"/>
      <c r="K79" s="50">
        <f>SUM(D79:J79)</f>
        <v>120000</v>
      </c>
      <c r="L79" s="41"/>
      <c r="M79" s="248">
        <f t="shared" si="38"/>
        <v>120000</v>
      </c>
      <c r="U79" s="20"/>
    </row>
    <row r="80" spans="1:21">
      <c r="A80" s="28" t="s">
        <v>402</v>
      </c>
      <c r="B80" s="52"/>
      <c r="C80" s="158">
        <v>35000</v>
      </c>
      <c r="D80" s="11">
        <f>C80</f>
        <v>35000</v>
      </c>
      <c r="E80" s="11">
        <f t="shared" ref="E80:H80" si="39">D80</f>
        <v>35000</v>
      </c>
      <c r="F80" s="11">
        <f t="shared" si="39"/>
        <v>35000</v>
      </c>
      <c r="G80" s="10">
        <f t="shared" si="39"/>
        <v>35000</v>
      </c>
      <c r="H80" s="11">
        <f t="shared" si="39"/>
        <v>35000</v>
      </c>
      <c r="I80" s="11">
        <v>20000</v>
      </c>
      <c r="J80" s="11">
        <v>15000</v>
      </c>
      <c r="K80" s="50">
        <f>SUM(D80:J80)</f>
        <v>210000</v>
      </c>
      <c r="L80" s="11"/>
      <c r="M80" s="248">
        <f t="shared" si="38"/>
        <v>210000</v>
      </c>
      <c r="U80" s="20"/>
    </row>
    <row r="81" spans="1:21">
      <c r="A81" s="125" t="s">
        <v>404</v>
      </c>
      <c r="B81" s="157"/>
      <c r="C81" s="158"/>
      <c r="D81" s="11"/>
      <c r="E81" s="11"/>
      <c r="F81" s="11"/>
      <c r="G81" s="10"/>
      <c r="H81" s="11"/>
      <c r="I81" s="11"/>
      <c r="J81" s="11"/>
      <c r="K81" s="50">
        <f>SUM(D81:J81)</f>
        <v>0</v>
      </c>
      <c r="L81" s="11"/>
      <c r="M81" s="248">
        <f t="shared" si="38"/>
        <v>0</v>
      </c>
      <c r="U81" s="20"/>
    </row>
    <row r="82" spans="1:21">
      <c r="A82" s="61" t="s">
        <v>432</v>
      </c>
      <c r="B82" s="100"/>
      <c r="C82" s="100"/>
      <c r="D82" s="100"/>
      <c r="E82" s="100"/>
      <c r="F82" s="100"/>
      <c r="G82" s="61"/>
      <c r="H82" s="100"/>
      <c r="I82" s="100"/>
      <c r="J82" s="100"/>
      <c r="K82" s="60">
        <f>SUM(D82:J82)</f>
        <v>0</v>
      </c>
      <c r="L82" s="149">
        <v>75000</v>
      </c>
      <c r="M82" s="232">
        <f t="shared" si="38"/>
        <v>75000</v>
      </c>
      <c r="U82" s="37"/>
    </row>
    <row r="84" spans="1:21" customFormat="1" ht="16"/>
    <row r="85" spans="1:21" customFormat="1" ht="16"/>
    <row r="86" spans="1:21">
      <c r="U86" s="20"/>
    </row>
    <row r="89" spans="1:21">
      <c r="S89" s="20"/>
    </row>
    <row r="90" spans="1:21">
      <c r="S90" s="20"/>
    </row>
    <row r="92" spans="1:21">
      <c r="R92" s="20"/>
      <c r="S92" s="20"/>
    </row>
    <row r="95" spans="1:21">
      <c r="R95" s="102"/>
      <c r="S95" s="102"/>
    </row>
    <row r="97" spans="11:19">
      <c r="R97" s="20"/>
      <c r="S97" s="20"/>
    </row>
    <row r="98" spans="11:19">
      <c r="S98" s="20"/>
    </row>
    <row r="99" spans="11:19">
      <c r="S99" s="20"/>
    </row>
    <row r="100" spans="11:19">
      <c r="R100" s="103"/>
      <c r="S100" s="103"/>
    </row>
    <row r="101" spans="11:19">
      <c r="R101" s="103"/>
      <c r="S101" s="103"/>
    </row>
    <row r="102" spans="11:19">
      <c r="R102" s="103"/>
      <c r="S102" s="103"/>
    </row>
    <row r="103" spans="11:19">
      <c r="R103" s="103"/>
      <c r="S103" s="103"/>
    </row>
    <row r="104" spans="11:19">
      <c r="R104" s="103"/>
      <c r="S104" s="103"/>
    </row>
    <row r="105" spans="11:19">
      <c r="R105" s="103"/>
      <c r="S105" s="103"/>
    </row>
    <row r="106" spans="11:19">
      <c r="R106" s="104"/>
      <c r="S106" s="104"/>
    </row>
    <row r="108" spans="11:19">
      <c r="K108" s="105"/>
      <c r="L108" s="136"/>
      <c r="M108" s="106"/>
      <c r="N108" s="106"/>
      <c r="O108" s="106"/>
    </row>
    <row r="161" spans="30:30">
      <c r="AD161" s="3">
        <v>0</v>
      </c>
    </row>
  </sheetData>
  <mergeCells count="2">
    <mergeCell ref="I1:J1"/>
    <mergeCell ref="D1:H1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17A6E-AB3F-5E44-BBD6-7155CB733F25}">
  <dimension ref="A1:W155"/>
  <sheetViews>
    <sheetView zoomScale="125" zoomScaleNormal="125" workbookViewId="0">
      <selection activeCell="F17" sqref="F17"/>
    </sheetView>
  </sheetViews>
  <sheetFormatPr baseColWidth="10" defaultRowHeight="15"/>
  <cols>
    <col min="1" max="1" width="45" style="1" bestFit="1" customWidth="1"/>
    <col min="2" max="2" width="15.1640625" style="1" bestFit="1" customWidth="1"/>
    <col min="3" max="3" width="5.5" style="1" bestFit="1" customWidth="1"/>
    <col min="4" max="4" width="11" style="1" bestFit="1" customWidth="1"/>
    <col min="5" max="5" width="16.5" style="1" bestFit="1" customWidth="1"/>
    <col min="6" max="16384" width="10.83203125" style="1"/>
  </cols>
  <sheetData>
    <row r="1" spans="1:5">
      <c r="A1" s="3" t="s">
        <v>466</v>
      </c>
    </row>
    <row r="3" spans="1:5">
      <c r="B3" s="1" t="s">
        <v>436</v>
      </c>
      <c r="C3" s="204" t="s">
        <v>262</v>
      </c>
      <c r="D3" s="1" t="s">
        <v>468</v>
      </c>
      <c r="E3" s="1" t="s">
        <v>465</v>
      </c>
    </row>
    <row r="4" spans="1:5">
      <c r="A4" s="189" t="s">
        <v>126</v>
      </c>
      <c r="B4" s="190">
        <v>230085</v>
      </c>
      <c r="C4" s="260">
        <v>88</v>
      </c>
      <c r="D4" s="262">
        <v>42.03988098579979</v>
      </c>
      <c r="E4" s="191">
        <v>0.51070075757575761</v>
      </c>
    </row>
    <row r="5" spans="1:5">
      <c r="A5" s="192" t="s">
        <v>443</v>
      </c>
      <c r="B5" s="193">
        <v>61350.75</v>
      </c>
      <c r="C5" s="261">
        <v>20</v>
      </c>
      <c r="D5" s="101">
        <v>49.511575227400897</v>
      </c>
      <c r="E5" s="194">
        <v>0.53166666666666673</v>
      </c>
    </row>
    <row r="6" spans="1:5">
      <c r="A6" s="192" t="s">
        <v>442</v>
      </c>
      <c r="B6" s="193">
        <v>50953.5</v>
      </c>
      <c r="C6" s="261">
        <v>11</v>
      </c>
      <c r="D6" s="101">
        <v>53.509898932927378</v>
      </c>
      <c r="E6" s="194">
        <v>0.71060606060606057</v>
      </c>
    </row>
    <row r="7" spans="1:5">
      <c r="A7" s="192" t="s">
        <v>447</v>
      </c>
      <c r="B7" s="193">
        <v>26292</v>
      </c>
      <c r="C7" s="261">
        <v>14</v>
      </c>
      <c r="D7" s="101">
        <v>42.255850722573527</v>
      </c>
      <c r="E7" s="194">
        <v>0.36428571428571432</v>
      </c>
    </row>
    <row r="8" spans="1:5">
      <c r="A8" s="192" t="s">
        <v>450</v>
      </c>
      <c r="B8" s="193">
        <v>26150.25</v>
      </c>
      <c r="C8" s="261">
        <v>11</v>
      </c>
      <c r="D8" s="101">
        <v>43.123836107573091</v>
      </c>
      <c r="E8" s="194">
        <v>0.45151515151515154</v>
      </c>
    </row>
    <row r="9" spans="1:5">
      <c r="A9" s="192" t="s">
        <v>448</v>
      </c>
      <c r="B9" s="193">
        <v>17519.5</v>
      </c>
      <c r="C9" s="261">
        <v>11</v>
      </c>
      <c r="D9" s="101">
        <v>39.9529088774973</v>
      </c>
      <c r="E9" s="194">
        <v>0.34772727272727272</v>
      </c>
    </row>
    <row r="10" spans="1:5">
      <c r="A10" s="192" t="s">
        <v>438</v>
      </c>
      <c r="B10" s="193">
        <v>11826.5</v>
      </c>
      <c r="C10" s="261">
        <v>2</v>
      </c>
      <c r="D10" s="101">
        <v>67.102390180878558</v>
      </c>
      <c r="E10" s="194">
        <v>0.73333333333333339</v>
      </c>
    </row>
    <row r="11" spans="1:5">
      <c r="A11" s="192" t="s">
        <v>441</v>
      </c>
      <c r="B11" s="193">
        <v>10608.5</v>
      </c>
      <c r="C11" s="261">
        <v>5</v>
      </c>
      <c r="D11" s="101">
        <v>24.903923725003864</v>
      </c>
      <c r="E11" s="194">
        <v>0.65500000000000003</v>
      </c>
    </row>
    <row r="12" spans="1:5">
      <c r="A12" s="192" t="s">
        <v>445</v>
      </c>
      <c r="B12" s="193">
        <v>9714.5</v>
      </c>
      <c r="C12" s="261">
        <v>2</v>
      </c>
      <c r="D12" s="101">
        <v>63.891471861471864</v>
      </c>
      <c r="E12" s="194">
        <v>0.6333333333333333</v>
      </c>
    </row>
    <row r="13" spans="1:5">
      <c r="A13" s="192" t="s">
        <v>446</v>
      </c>
      <c r="B13" s="193">
        <v>6579.5</v>
      </c>
      <c r="C13" s="261">
        <v>3</v>
      </c>
      <c r="D13" s="101">
        <v>18.043109763799421</v>
      </c>
      <c r="E13" s="194">
        <v>0.97777777777777786</v>
      </c>
    </row>
    <row r="14" spans="1:5">
      <c r="A14" s="192" t="s">
        <v>444</v>
      </c>
      <c r="B14" s="193">
        <v>4269</v>
      </c>
      <c r="C14" s="261">
        <v>1</v>
      </c>
      <c r="D14" s="101">
        <v>35.87394957983193</v>
      </c>
      <c r="E14" s="194">
        <v>0.9916666666666667</v>
      </c>
    </row>
    <row r="15" spans="1:5">
      <c r="A15" s="192" t="s">
        <v>437</v>
      </c>
      <c r="B15" s="193">
        <v>2998</v>
      </c>
      <c r="C15" s="261">
        <v>2</v>
      </c>
      <c r="D15" s="101">
        <v>34.849296536796537</v>
      </c>
      <c r="E15" s="194">
        <v>0.35833333333333328</v>
      </c>
    </row>
    <row r="16" spans="1:5">
      <c r="A16" s="192" t="s">
        <v>449</v>
      </c>
      <c r="B16" s="193">
        <v>1153</v>
      </c>
      <c r="C16" s="261">
        <v>2</v>
      </c>
      <c r="D16" s="101">
        <v>18.206060606060603</v>
      </c>
      <c r="E16" s="194">
        <v>0.26250000000000001</v>
      </c>
    </row>
    <row r="17" spans="1:5">
      <c r="A17" s="192" t="s">
        <v>114</v>
      </c>
      <c r="B17" s="193">
        <v>670</v>
      </c>
      <c r="C17" s="261">
        <v>2</v>
      </c>
      <c r="D17" s="101">
        <v>16.310846560846564</v>
      </c>
      <c r="E17" s="194">
        <v>0.17083333333333334</v>
      </c>
    </row>
    <row r="18" spans="1:5">
      <c r="A18" s="192" t="s">
        <v>440</v>
      </c>
      <c r="B18" s="193">
        <v>0</v>
      </c>
      <c r="C18" s="261">
        <v>1</v>
      </c>
      <c r="D18" s="101">
        <v>0</v>
      </c>
      <c r="E18" s="194">
        <v>0.9916666666666667</v>
      </c>
    </row>
    <row r="19" spans="1:5">
      <c r="A19" s="192" t="s">
        <v>439</v>
      </c>
      <c r="B19" s="193">
        <v>0</v>
      </c>
      <c r="C19" s="261">
        <v>1</v>
      </c>
      <c r="D19" s="101">
        <v>0</v>
      </c>
      <c r="E19" s="194">
        <v>9.166666666666666E-2</v>
      </c>
    </row>
    <row r="20" spans="1:5">
      <c r="A20" s="189" t="s">
        <v>267</v>
      </c>
      <c r="B20" s="190">
        <v>232374</v>
      </c>
      <c r="C20" s="260">
        <v>91</v>
      </c>
      <c r="D20" s="262">
        <v>37.943737805278325</v>
      </c>
      <c r="E20" s="191">
        <v>0.5473443223443224</v>
      </c>
    </row>
    <row r="21" spans="1:5">
      <c r="A21" s="192" t="s">
        <v>41</v>
      </c>
      <c r="B21" s="193">
        <v>70426.5</v>
      </c>
      <c r="C21" s="261">
        <v>17</v>
      </c>
      <c r="D21" s="101">
        <v>54.628159429584898</v>
      </c>
      <c r="E21" s="194">
        <v>0.63725490196078427</v>
      </c>
    </row>
    <row r="22" spans="1:5">
      <c r="A22" s="192" t="s">
        <v>42</v>
      </c>
      <c r="B22" s="193">
        <v>44158</v>
      </c>
      <c r="C22" s="261">
        <v>17</v>
      </c>
      <c r="D22" s="101">
        <v>46.686700401171059</v>
      </c>
      <c r="E22" s="194">
        <v>0.46519607843137256</v>
      </c>
    </row>
    <row r="23" spans="1:5">
      <c r="A23" s="192" t="s">
        <v>459</v>
      </c>
      <c r="B23" s="193">
        <v>29218</v>
      </c>
      <c r="C23" s="261">
        <v>12</v>
      </c>
      <c r="D23" s="101">
        <v>40.958689250147977</v>
      </c>
      <c r="E23" s="194">
        <v>0.46180555555555552</v>
      </c>
    </row>
    <row r="24" spans="1:5">
      <c r="A24" s="192" t="s">
        <v>43</v>
      </c>
      <c r="B24" s="193">
        <v>28649.5</v>
      </c>
      <c r="C24" s="261">
        <v>4</v>
      </c>
      <c r="D24" s="101">
        <v>56.181904409224217</v>
      </c>
      <c r="E24" s="194">
        <v>1.0625</v>
      </c>
    </row>
    <row r="25" spans="1:5">
      <c r="A25" s="192" t="s">
        <v>461</v>
      </c>
      <c r="B25" s="193">
        <v>11966</v>
      </c>
      <c r="C25" s="261">
        <v>7</v>
      </c>
      <c r="D25" s="101">
        <v>32.614869964415121</v>
      </c>
      <c r="E25" s="194">
        <v>0.44047619047619041</v>
      </c>
    </row>
    <row r="26" spans="1:5">
      <c r="A26" s="192" t="s">
        <v>453</v>
      </c>
      <c r="B26" s="193">
        <v>11265</v>
      </c>
      <c r="C26" s="261">
        <v>4</v>
      </c>
      <c r="D26" s="101">
        <v>20.849762151202363</v>
      </c>
      <c r="E26" s="194">
        <v>1.1270833333333332</v>
      </c>
    </row>
    <row r="27" spans="1:5">
      <c r="A27" s="192" t="s">
        <v>456</v>
      </c>
      <c r="B27" s="193">
        <v>9172</v>
      </c>
      <c r="C27" s="261">
        <v>5</v>
      </c>
      <c r="D27" s="101">
        <v>20.370139179817308</v>
      </c>
      <c r="E27" s="194">
        <v>0.69333333333333336</v>
      </c>
    </row>
    <row r="28" spans="1:5">
      <c r="A28" s="192" t="s">
        <v>460</v>
      </c>
      <c r="B28" s="193">
        <v>5555</v>
      </c>
      <c r="C28" s="261">
        <v>5</v>
      </c>
      <c r="D28" s="101">
        <v>14.335758200771465</v>
      </c>
      <c r="E28" s="194">
        <v>0.69166666666666665</v>
      </c>
    </row>
    <row r="29" spans="1:5">
      <c r="A29" s="192" t="s">
        <v>458</v>
      </c>
      <c r="B29" s="193">
        <v>5165</v>
      </c>
      <c r="C29" s="261">
        <v>1</v>
      </c>
      <c r="D29" s="101">
        <v>34.43333333333333</v>
      </c>
      <c r="E29" s="194">
        <v>1.25</v>
      </c>
    </row>
    <row r="30" spans="1:5">
      <c r="A30" s="192" t="s">
        <v>463</v>
      </c>
      <c r="B30" s="193">
        <v>4255</v>
      </c>
      <c r="C30" s="261">
        <v>10</v>
      </c>
      <c r="D30" s="101">
        <v>32.051789682539678</v>
      </c>
      <c r="E30" s="194">
        <v>7.0000000000000007E-2</v>
      </c>
    </row>
    <row r="31" spans="1:5">
      <c r="A31" s="192" t="s">
        <v>455</v>
      </c>
      <c r="B31" s="193">
        <v>4068</v>
      </c>
      <c r="C31" s="261">
        <v>2</v>
      </c>
      <c r="D31" s="101">
        <v>34.200635593220341</v>
      </c>
      <c r="E31" s="194">
        <v>0.49583333333333335</v>
      </c>
    </row>
    <row r="32" spans="1:5">
      <c r="A32" s="192" t="s">
        <v>457</v>
      </c>
      <c r="B32" s="193">
        <v>3500</v>
      </c>
      <c r="C32" s="261">
        <v>1</v>
      </c>
      <c r="D32" s="101">
        <v>30.701754385964911</v>
      </c>
      <c r="E32" s="194">
        <v>0.95</v>
      </c>
    </row>
    <row r="33" spans="1:5">
      <c r="A33" s="192" t="s">
        <v>452</v>
      </c>
      <c r="B33" s="193">
        <v>2541</v>
      </c>
      <c r="C33" s="261">
        <v>1</v>
      </c>
      <c r="D33" s="101">
        <v>20.658536585365855</v>
      </c>
      <c r="E33" s="194">
        <v>1.0249999999999999</v>
      </c>
    </row>
    <row r="34" spans="1:5">
      <c r="A34" s="192" t="s">
        <v>451</v>
      </c>
      <c r="B34" s="193">
        <v>1194</v>
      </c>
      <c r="C34" s="261">
        <v>2</v>
      </c>
      <c r="D34" s="101">
        <v>11.47235621521336</v>
      </c>
      <c r="E34" s="194">
        <v>0.43333333333333335</v>
      </c>
    </row>
    <row r="35" spans="1:5">
      <c r="A35" s="192" t="s">
        <v>454</v>
      </c>
      <c r="B35" s="193">
        <v>715</v>
      </c>
      <c r="C35" s="261">
        <v>2</v>
      </c>
      <c r="D35" s="101">
        <v>10.107007575757576</v>
      </c>
      <c r="E35" s="194">
        <v>0.29166666666666669</v>
      </c>
    </row>
    <row r="36" spans="1:5">
      <c r="A36" s="192" t="s">
        <v>462</v>
      </c>
      <c r="B36" s="193">
        <v>526</v>
      </c>
      <c r="C36" s="261">
        <v>1</v>
      </c>
      <c r="D36" s="101">
        <v>11.191489361702128</v>
      </c>
      <c r="E36" s="194">
        <v>0.39166666666666666</v>
      </c>
    </row>
    <row r="37" spans="1:5">
      <c r="A37" s="195" t="s">
        <v>464</v>
      </c>
      <c r="B37" s="193">
        <v>462459</v>
      </c>
      <c r="C37" s="261">
        <v>179</v>
      </c>
      <c r="D37" s="101">
        <v>39.957484173355937</v>
      </c>
      <c r="E37" s="194">
        <v>0.52932960893854752</v>
      </c>
    </row>
    <row r="38" spans="1:5" ht="16">
      <c r="A38"/>
      <c r="B38"/>
      <c r="C38"/>
      <c r="D38"/>
      <c r="E38"/>
    </row>
    <row r="39" spans="1:5" ht="16">
      <c r="A39"/>
      <c r="B39"/>
      <c r="C39"/>
    </row>
    <row r="40" spans="1:5" ht="16">
      <c r="A40"/>
      <c r="B40"/>
      <c r="C40"/>
    </row>
    <row r="155" spans="23:23">
      <c r="W155" s="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6AAEF-CEB3-7745-9205-774A156DAE88}">
  <sheetPr>
    <pageSetUpPr fitToPage="1"/>
  </sheetPr>
  <dimension ref="A1:I138"/>
  <sheetViews>
    <sheetView zoomScale="125" zoomScaleNormal="125" workbookViewId="0">
      <selection activeCell="I138" sqref="A1:I138"/>
    </sheetView>
  </sheetViews>
  <sheetFormatPr baseColWidth="10" defaultRowHeight="16"/>
  <cols>
    <col min="1" max="1" width="41" bestFit="1" customWidth="1"/>
    <col min="2" max="4" width="11.1640625" bestFit="1" customWidth="1"/>
    <col min="5" max="5" width="11.6640625" bestFit="1" customWidth="1"/>
    <col min="6" max="8" width="11.1640625" bestFit="1" customWidth="1"/>
    <col min="9" max="9" width="12.6640625" bestFit="1" customWidth="1"/>
  </cols>
  <sheetData>
    <row r="1" spans="1:9">
      <c r="A1" s="1"/>
      <c r="B1" s="1" t="s">
        <v>478</v>
      </c>
      <c r="C1" s="1" t="s">
        <v>479</v>
      </c>
      <c r="D1" s="1" t="s">
        <v>480</v>
      </c>
      <c r="E1" s="1" t="s">
        <v>481</v>
      </c>
      <c r="F1" s="1" t="s">
        <v>482</v>
      </c>
      <c r="G1" s="1" t="s">
        <v>483</v>
      </c>
      <c r="H1" s="1" t="s">
        <v>484</v>
      </c>
      <c r="I1" s="1" t="s">
        <v>6</v>
      </c>
    </row>
    <row r="2" spans="1:9">
      <c r="A2" s="1" t="s">
        <v>272</v>
      </c>
      <c r="B2" s="1"/>
      <c r="C2" s="1"/>
      <c r="D2" s="1"/>
      <c r="E2" s="1"/>
      <c r="F2" s="1"/>
      <c r="G2" s="1"/>
      <c r="H2" s="1"/>
      <c r="I2" s="1"/>
    </row>
    <row r="3" spans="1:9">
      <c r="A3" s="1" t="s">
        <v>273</v>
      </c>
      <c r="B3" s="1"/>
      <c r="C3" s="1"/>
      <c r="D3" s="1"/>
      <c r="E3" s="1"/>
      <c r="F3" s="1"/>
      <c r="G3" s="1"/>
      <c r="H3" s="1"/>
      <c r="I3" s="1"/>
    </row>
    <row r="4" spans="1:9">
      <c r="A4" s="1" t="s">
        <v>274</v>
      </c>
      <c r="B4" s="1"/>
      <c r="C4" s="1"/>
      <c r="D4" s="1"/>
      <c r="E4" s="1"/>
      <c r="F4" s="1"/>
      <c r="G4" s="1"/>
      <c r="H4" s="1"/>
      <c r="I4" s="1"/>
    </row>
    <row r="5" spans="1:9">
      <c r="A5" s="1" t="s">
        <v>275</v>
      </c>
      <c r="B5" s="1"/>
      <c r="C5" s="1"/>
      <c r="D5" s="1"/>
      <c r="E5" s="1"/>
      <c r="F5" s="1"/>
      <c r="G5" s="1"/>
      <c r="H5" s="1"/>
      <c r="I5" s="1"/>
    </row>
    <row r="6" spans="1:9">
      <c r="A6" s="1" t="s">
        <v>276</v>
      </c>
      <c r="B6" s="238">
        <v>0</v>
      </c>
      <c r="C6" s="238">
        <v>3643.5</v>
      </c>
      <c r="D6" s="238">
        <v>182918.75</v>
      </c>
      <c r="E6" s="238">
        <v>27919</v>
      </c>
      <c r="F6" s="238">
        <v>1204</v>
      </c>
      <c r="G6" s="238">
        <v>16368.5</v>
      </c>
      <c r="H6" s="238">
        <v>193788.5</v>
      </c>
      <c r="I6" s="238">
        <v>425842.25</v>
      </c>
    </row>
    <row r="7" spans="1:9">
      <c r="A7" s="1" t="s">
        <v>277</v>
      </c>
      <c r="B7" s="238">
        <v>6102.75</v>
      </c>
      <c r="C7" s="238">
        <v>29250</v>
      </c>
      <c r="D7" s="238">
        <v>0</v>
      </c>
      <c r="E7" s="238">
        <v>0</v>
      </c>
      <c r="F7" s="238">
        <v>375</v>
      </c>
      <c r="G7" s="238">
        <v>44070</v>
      </c>
      <c r="H7" s="238">
        <v>12500</v>
      </c>
      <c r="I7" s="238">
        <v>92297.75</v>
      </c>
    </row>
    <row r="8" spans="1:9">
      <c r="A8" s="1" t="s">
        <v>278</v>
      </c>
      <c r="B8" s="238">
        <v>0</v>
      </c>
      <c r="C8" s="238">
        <v>90.23</v>
      </c>
      <c r="D8" s="238">
        <v>9928.7000000000007</v>
      </c>
      <c r="E8" s="238">
        <v>2325.37</v>
      </c>
      <c r="F8" s="238">
        <v>289.52</v>
      </c>
      <c r="G8" s="238">
        <v>1587.4</v>
      </c>
      <c r="H8" s="238">
        <v>15546.76</v>
      </c>
      <c r="I8" s="238">
        <v>29767.98</v>
      </c>
    </row>
    <row r="9" spans="1:9">
      <c r="A9" s="1" t="s">
        <v>279</v>
      </c>
      <c r="B9" s="238">
        <v>750</v>
      </c>
      <c r="C9" s="238">
        <v>8300</v>
      </c>
      <c r="D9" s="238">
        <v>0</v>
      </c>
      <c r="E9" s="238">
        <v>1500</v>
      </c>
      <c r="F9" s="238">
        <v>3105</v>
      </c>
      <c r="G9" s="238">
        <v>2625</v>
      </c>
      <c r="H9" s="238">
        <v>0</v>
      </c>
      <c r="I9" s="238">
        <v>16280</v>
      </c>
    </row>
    <row r="10" spans="1:9">
      <c r="A10" s="1" t="s">
        <v>280</v>
      </c>
      <c r="B10" s="238">
        <v>0</v>
      </c>
      <c r="C10" s="238">
        <v>2560</v>
      </c>
      <c r="D10" s="238">
        <v>3550</v>
      </c>
      <c r="E10" s="238">
        <v>6850</v>
      </c>
      <c r="F10" s="238">
        <v>2300</v>
      </c>
      <c r="G10" s="238">
        <v>350</v>
      </c>
      <c r="H10" s="238">
        <v>350</v>
      </c>
      <c r="I10" s="238">
        <v>15960</v>
      </c>
    </row>
    <row r="11" spans="1:9">
      <c r="A11" s="1" t="s">
        <v>281</v>
      </c>
      <c r="B11" s="238">
        <v>6852.75</v>
      </c>
      <c r="C11" s="238">
        <v>43843.73</v>
      </c>
      <c r="D11" s="238">
        <v>196397.45</v>
      </c>
      <c r="E11" s="238">
        <v>38594.370000000003</v>
      </c>
      <c r="F11" s="238">
        <v>7273.52</v>
      </c>
      <c r="G11" s="238">
        <v>65000.9</v>
      </c>
      <c r="H11" s="238">
        <v>222185.26</v>
      </c>
      <c r="I11" s="238">
        <v>580147.98</v>
      </c>
    </row>
    <row r="12" spans="1:9">
      <c r="A12" s="1" t="s">
        <v>282</v>
      </c>
      <c r="B12" s="238"/>
      <c r="C12" s="238"/>
      <c r="D12" s="238"/>
      <c r="E12" s="238"/>
      <c r="F12" s="238"/>
      <c r="G12" s="238"/>
      <c r="H12" s="238"/>
      <c r="I12" s="238"/>
    </row>
    <row r="13" spans="1:9">
      <c r="A13" s="1" t="s">
        <v>283</v>
      </c>
      <c r="B13" s="238"/>
      <c r="C13" s="238"/>
      <c r="D13" s="238"/>
      <c r="E13" s="238"/>
      <c r="F13" s="238"/>
      <c r="G13" s="238"/>
      <c r="H13" s="238"/>
      <c r="I13" s="238"/>
    </row>
    <row r="14" spans="1:9">
      <c r="A14" s="1" t="s">
        <v>284</v>
      </c>
      <c r="B14" s="238">
        <v>0</v>
      </c>
      <c r="C14" s="238">
        <v>13233.5</v>
      </c>
      <c r="D14" s="238">
        <v>24833.33</v>
      </c>
      <c r="E14" s="238">
        <v>1560</v>
      </c>
      <c r="F14" s="238">
        <v>255</v>
      </c>
      <c r="G14" s="238">
        <v>416.61</v>
      </c>
      <c r="H14" s="238">
        <v>28848.73</v>
      </c>
      <c r="I14" s="238">
        <v>69147.17</v>
      </c>
    </row>
    <row r="15" spans="1:9">
      <c r="A15" s="1" t="s">
        <v>285</v>
      </c>
      <c r="B15" s="238">
        <v>18000</v>
      </c>
      <c r="C15" s="238">
        <v>27250</v>
      </c>
      <c r="D15" s="238">
        <v>20000</v>
      </c>
      <c r="E15" s="238">
        <v>5000</v>
      </c>
      <c r="F15" s="238">
        <v>15500</v>
      </c>
      <c r="G15" s="238">
        <v>60174</v>
      </c>
      <c r="H15" s="238">
        <v>10000</v>
      </c>
      <c r="I15" s="238">
        <v>155924</v>
      </c>
    </row>
    <row r="16" spans="1:9">
      <c r="A16" s="1" t="s">
        <v>286</v>
      </c>
      <c r="B16" s="238">
        <v>1500</v>
      </c>
      <c r="C16" s="238">
        <v>14827</v>
      </c>
      <c r="D16" s="238">
        <v>3000</v>
      </c>
      <c r="E16" s="238">
        <v>0</v>
      </c>
      <c r="F16" s="238">
        <v>3000</v>
      </c>
      <c r="G16" s="238">
        <v>28000</v>
      </c>
      <c r="H16" s="238">
        <v>6750</v>
      </c>
      <c r="I16" s="238">
        <v>57077</v>
      </c>
    </row>
    <row r="17" spans="1:9">
      <c r="A17" s="1" t="s">
        <v>287</v>
      </c>
      <c r="B17" s="238">
        <v>0</v>
      </c>
      <c r="C17" s="238">
        <v>30606.5</v>
      </c>
      <c r="D17" s="238">
        <v>6523.5</v>
      </c>
      <c r="E17" s="238">
        <v>0</v>
      </c>
      <c r="F17" s="238">
        <v>0</v>
      </c>
      <c r="G17" s="238">
        <v>36437.5</v>
      </c>
      <c r="H17" s="238">
        <v>76962.5</v>
      </c>
      <c r="I17" s="238">
        <v>150530</v>
      </c>
    </row>
    <row r="18" spans="1:9">
      <c r="A18" s="1" t="s">
        <v>288</v>
      </c>
      <c r="B18" s="238">
        <v>10318.06</v>
      </c>
      <c r="C18" s="238">
        <v>1750</v>
      </c>
      <c r="D18" s="238">
        <v>0</v>
      </c>
      <c r="E18" s="238">
        <v>37251.5</v>
      </c>
      <c r="F18" s="238">
        <v>12620</v>
      </c>
      <c r="G18" s="238">
        <v>1312.39</v>
      </c>
      <c r="H18" s="238">
        <v>0</v>
      </c>
      <c r="I18" s="238">
        <v>63251.95</v>
      </c>
    </row>
    <row r="19" spans="1:9">
      <c r="A19" s="1" t="s">
        <v>289</v>
      </c>
      <c r="B19" s="238">
        <v>20000</v>
      </c>
      <c r="C19" s="238">
        <v>50000</v>
      </c>
      <c r="D19" s="238">
        <v>30000</v>
      </c>
      <c r="E19" s="238">
        <v>25000</v>
      </c>
      <c r="F19" s="238">
        <v>0</v>
      </c>
      <c r="G19" s="238">
        <v>35000</v>
      </c>
      <c r="H19" s="238">
        <v>55000</v>
      </c>
      <c r="I19" s="238">
        <v>215000</v>
      </c>
    </row>
    <row r="20" spans="1:9">
      <c r="A20" s="1" t="s">
        <v>290</v>
      </c>
      <c r="B20" s="238">
        <v>0</v>
      </c>
      <c r="C20" s="238">
        <v>0</v>
      </c>
      <c r="D20" s="238">
        <v>0</v>
      </c>
      <c r="E20" s="238">
        <v>0</v>
      </c>
      <c r="F20" s="238">
        <v>0</v>
      </c>
      <c r="G20" s="238">
        <v>15000</v>
      </c>
      <c r="H20" s="238">
        <v>40000</v>
      </c>
      <c r="I20" s="238">
        <v>55000</v>
      </c>
    </row>
    <row r="21" spans="1:9">
      <c r="A21" s="1" t="s">
        <v>291</v>
      </c>
      <c r="B21" s="238">
        <v>12500</v>
      </c>
      <c r="C21" s="238">
        <v>14500</v>
      </c>
      <c r="D21" s="238">
        <v>3997</v>
      </c>
      <c r="E21" s="238">
        <v>84650</v>
      </c>
      <c r="F21" s="238">
        <v>17500</v>
      </c>
      <c r="G21" s="238">
        <v>4050</v>
      </c>
      <c r="H21" s="238">
        <v>12800</v>
      </c>
      <c r="I21" s="238">
        <v>149997</v>
      </c>
    </row>
    <row r="22" spans="1:9">
      <c r="A22" s="1" t="s">
        <v>292</v>
      </c>
      <c r="B22" s="238">
        <v>25000</v>
      </c>
      <c r="C22" s="238">
        <v>100</v>
      </c>
      <c r="D22" s="238">
        <v>51000</v>
      </c>
      <c r="E22" s="238">
        <v>0</v>
      </c>
      <c r="F22" s="238">
        <v>25000</v>
      </c>
      <c r="G22" s="238">
        <v>0</v>
      </c>
      <c r="H22" s="238">
        <v>100000</v>
      </c>
      <c r="I22" s="238">
        <v>201100</v>
      </c>
    </row>
    <row r="23" spans="1:9">
      <c r="A23" s="1" t="s">
        <v>293</v>
      </c>
      <c r="B23" s="238">
        <v>0</v>
      </c>
      <c r="C23" s="238">
        <v>0</v>
      </c>
      <c r="D23" s="238">
        <v>0</v>
      </c>
      <c r="E23" s="238">
        <v>20243</v>
      </c>
      <c r="F23" s="238">
        <v>0</v>
      </c>
      <c r="G23" s="238">
        <v>0</v>
      </c>
      <c r="H23" s="238">
        <v>0</v>
      </c>
      <c r="I23" s="238">
        <v>20243</v>
      </c>
    </row>
    <row r="24" spans="1:9">
      <c r="A24" s="1" t="s">
        <v>294</v>
      </c>
      <c r="B24" s="238">
        <v>87318.06</v>
      </c>
      <c r="C24" s="238">
        <v>152267</v>
      </c>
      <c r="D24" s="238">
        <v>139353.82999999999</v>
      </c>
      <c r="E24" s="238">
        <v>173704.5</v>
      </c>
      <c r="F24" s="238">
        <v>73875</v>
      </c>
      <c r="G24" s="238">
        <v>180390.5</v>
      </c>
      <c r="H24" s="238">
        <v>330361.23</v>
      </c>
      <c r="I24" s="238">
        <v>1137270.1200000001</v>
      </c>
    </row>
    <row r="25" spans="1:9">
      <c r="A25" s="1" t="s">
        <v>295</v>
      </c>
      <c r="B25" s="238">
        <v>0</v>
      </c>
      <c r="C25" s="238">
        <v>0</v>
      </c>
      <c r="D25" s="238">
        <v>0</v>
      </c>
      <c r="E25" s="238">
        <v>0</v>
      </c>
      <c r="F25" s="238">
        <v>0</v>
      </c>
      <c r="G25" s="238">
        <v>0</v>
      </c>
      <c r="H25" s="238">
        <v>5500</v>
      </c>
      <c r="I25" s="238">
        <v>5500</v>
      </c>
    </row>
    <row r="26" spans="1:9">
      <c r="A26" s="1" t="s">
        <v>296</v>
      </c>
      <c r="B26" s="238">
        <v>87318.06</v>
      </c>
      <c r="C26" s="238">
        <v>152267</v>
      </c>
      <c r="D26" s="238">
        <v>139353.82999999999</v>
      </c>
      <c r="E26" s="238">
        <v>173704.5</v>
      </c>
      <c r="F26" s="238">
        <v>73875</v>
      </c>
      <c r="G26" s="238">
        <v>180390.5</v>
      </c>
      <c r="H26" s="238">
        <v>335861.23</v>
      </c>
      <c r="I26" s="238">
        <v>1142770.1200000001</v>
      </c>
    </row>
    <row r="27" spans="1:9">
      <c r="A27" s="1" t="s">
        <v>297</v>
      </c>
      <c r="B27" s="238">
        <v>94170.81</v>
      </c>
      <c r="C27" s="238">
        <v>196110.73</v>
      </c>
      <c r="D27" s="238">
        <v>335751.28</v>
      </c>
      <c r="E27" s="238">
        <v>212298.87</v>
      </c>
      <c r="F27" s="238">
        <v>81148.52</v>
      </c>
      <c r="G27" s="238">
        <v>245391.4</v>
      </c>
      <c r="H27" s="238">
        <v>558046.49</v>
      </c>
      <c r="I27" s="238">
        <v>1722918.1</v>
      </c>
    </row>
    <row r="28" spans="1:9">
      <c r="A28" s="1" t="s">
        <v>298</v>
      </c>
      <c r="B28" s="238"/>
      <c r="C28" s="238"/>
      <c r="D28" s="238"/>
      <c r="E28" s="238"/>
      <c r="F28" s="238"/>
      <c r="G28" s="238"/>
      <c r="H28" s="238"/>
      <c r="I28" s="238"/>
    </row>
    <row r="29" spans="1:9">
      <c r="A29" s="1" t="s">
        <v>299</v>
      </c>
      <c r="B29" s="238">
        <v>0</v>
      </c>
      <c r="C29" s="238">
        <v>0</v>
      </c>
      <c r="D29" s="238">
        <v>0</v>
      </c>
      <c r="E29" s="238">
        <v>338</v>
      </c>
      <c r="F29" s="238">
        <v>0</v>
      </c>
      <c r="G29" s="238">
        <v>0</v>
      </c>
      <c r="H29" s="238">
        <v>0</v>
      </c>
      <c r="I29" s="238">
        <v>338</v>
      </c>
    </row>
    <row r="30" spans="1:9">
      <c r="A30" s="1" t="s">
        <v>300</v>
      </c>
      <c r="B30" s="238">
        <v>0</v>
      </c>
      <c r="C30" s="238">
        <v>0</v>
      </c>
      <c r="D30" s="238">
        <v>0</v>
      </c>
      <c r="E30" s="238">
        <v>338</v>
      </c>
      <c r="F30" s="238">
        <v>0</v>
      </c>
      <c r="G30" s="238">
        <v>0</v>
      </c>
      <c r="H30" s="238">
        <v>0</v>
      </c>
      <c r="I30" s="238">
        <v>338</v>
      </c>
    </row>
    <row r="31" spans="1:9">
      <c r="A31" s="1" t="s">
        <v>301</v>
      </c>
      <c r="B31" s="238">
        <v>4278.8</v>
      </c>
      <c r="C31" s="238">
        <v>-1892.81</v>
      </c>
      <c r="D31" s="238">
        <v>51963.86</v>
      </c>
      <c r="E31" s="238">
        <v>-53696</v>
      </c>
      <c r="F31" s="238">
        <v>90.69</v>
      </c>
      <c r="G31" s="238">
        <v>1901.62</v>
      </c>
      <c r="H31" s="238">
        <v>116.72</v>
      </c>
      <c r="I31" s="238">
        <v>2762.88</v>
      </c>
    </row>
    <row r="32" spans="1:9">
      <c r="A32" s="1" t="s">
        <v>302</v>
      </c>
      <c r="B32" s="238">
        <v>98449.61</v>
      </c>
      <c r="C32" s="238">
        <v>194217.92</v>
      </c>
      <c r="D32" s="238">
        <v>387715.14</v>
      </c>
      <c r="E32" s="238">
        <v>158940.87</v>
      </c>
      <c r="F32" s="238">
        <v>81239.210000000006</v>
      </c>
      <c r="G32" s="238">
        <v>247293.02</v>
      </c>
      <c r="H32" s="238">
        <v>558163.21</v>
      </c>
      <c r="I32" s="238">
        <v>1726018.98</v>
      </c>
    </row>
    <row r="33" spans="1:9">
      <c r="A33" s="1" t="s">
        <v>425</v>
      </c>
      <c r="B33" s="238">
        <v>98449.61</v>
      </c>
      <c r="C33" s="238">
        <v>194217.92</v>
      </c>
      <c r="D33" s="238">
        <v>387715.14</v>
      </c>
      <c r="E33" s="238">
        <v>158940.87</v>
      </c>
      <c r="F33" s="238">
        <v>81239.210000000006</v>
      </c>
      <c r="G33" s="238">
        <v>247293.02</v>
      </c>
      <c r="H33" s="238">
        <v>558163.21</v>
      </c>
      <c r="I33" s="238">
        <v>1726018.98</v>
      </c>
    </row>
    <row r="34" spans="1:9">
      <c r="A34" s="1" t="s">
        <v>21</v>
      </c>
      <c r="B34" s="238"/>
      <c r="C34" s="238"/>
      <c r="D34" s="238"/>
      <c r="E34" s="238"/>
      <c r="F34" s="238"/>
      <c r="G34" s="238"/>
      <c r="H34" s="238"/>
      <c r="I34" s="238"/>
    </row>
    <row r="35" spans="1:9">
      <c r="A35" s="1" t="s">
        <v>303</v>
      </c>
      <c r="B35" s="238"/>
      <c r="C35" s="238"/>
      <c r="D35" s="238"/>
      <c r="E35" s="238"/>
      <c r="F35" s="238"/>
      <c r="G35" s="238"/>
      <c r="H35" s="238"/>
      <c r="I35" s="238"/>
    </row>
    <row r="36" spans="1:9">
      <c r="A36" s="1" t="s">
        <v>304</v>
      </c>
      <c r="B36" s="238"/>
      <c r="C36" s="238"/>
      <c r="D36" s="238"/>
      <c r="E36" s="238"/>
      <c r="F36" s="238"/>
      <c r="G36" s="238"/>
      <c r="H36" s="238"/>
      <c r="I36" s="238"/>
    </row>
    <row r="37" spans="1:9">
      <c r="A37" s="1" t="s">
        <v>305</v>
      </c>
      <c r="B37" s="238"/>
      <c r="C37" s="238"/>
      <c r="D37" s="238"/>
      <c r="E37" s="238"/>
      <c r="F37" s="238"/>
      <c r="G37" s="238"/>
      <c r="H37" s="238"/>
      <c r="I37" s="238"/>
    </row>
    <row r="38" spans="1:9">
      <c r="A38" s="1" t="s">
        <v>306</v>
      </c>
      <c r="B38" s="238">
        <v>0</v>
      </c>
      <c r="C38" s="238">
        <v>9673.34</v>
      </c>
      <c r="D38" s="238">
        <v>72201.55</v>
      </c>
      <c r="E38" s="238">
        <v>18476.96</v>
      </c>
      <c r="F38" s="238">
        <v>0</v>
      </c>
      <c r="G38" s="238">
        <v>11600.85</v>
      </c>
      <c r="H38" s="238">
        <v>92100.800000000003</v>
      </c>
      <c r="I38" s="238">
        <v>204053.5</v>
      </c>
    </row>
    <row r="39" spans="1:9">
      <c r="A39" s="1" t="s">
        <v>307</v>
      </c>
      <c r="B39" s="238">
        <v>0</v>
      </c>
      <c r="C39" s="238">
        <v>3109.85</v>
      </c>
      <c r="D39" s="238">
        <v>37212.29</v>
      </c>
      <c r="E39" s="238">
        <v>8021.48</v>
      </c>
      <c r="F39" s="238">
        <v>0</v>
      </c>
      <c r="G39" s="238">
        <v>4121.75</v>
      </c>
      <c r="H39" s="238">
        <v>32300.99</v>
      </c>
      <c r="I39" s="238">
        <v>84766.36</v>
      </c>
    </row>
    <row r="40" spans="1:9">
      <c r="A40" s="1" t="s">
        <v>308</v>
      </c>
      <c r="B40" s="238">
        <v>32.090000000000003</v>
      </c>
      <c r="C40" s="238">
        <v>0</v>
      </c>
      <c r="D40" s="238">
        <v>24410.19</v>
      </c>
      <c r="E40" s="238">
        <v>-23434.33</v>
      </c>
      <c r="F40" s="238">
        <v>49.82</v>
      </c>
      <c r="G40" s="238">
        <v>0</v>
      </c>
      <c r="H40" s="238">
        <v>28122.99</v>
      </c>
      <c r="I40" s="238">
        <v>29180.76</v>
      </c>
    </row>
    <row r="41" spans="1:9">
      <c r="A41" s="1" t="s">
        <v>309</v>
      </c>
      <c r="B41" s="238">
        <v>32.090000000000003</v>
      </c>
      <c r="C41" s="238">
        <v>12783.19</v>
      </c>
      <c r="D41" s="238">
        <v>133824.03</v>
      </c>
      <c r="E41" s="238">
        <v>3064.11</v>
      </c>
      <c r="F41" s="238">
        <v>49.82</v>
      </c>
      <c r="G41" s="238">
        <v>15722.6</v>
      </c>
      <c r="H41" s="238">
        <v>152524.78</v>
      </c>
      <c r="I41" s="238">
        <v>318000.62</v>
      </c>
    </row>
    <row r="42" spans="1:9">
      <c r="A42" s="1" t="s">
        <v>310</v>
      </c>
      <c r="B42" s="238"/>
      <c r="C42" s="238"/>
      <c r="D42" s="238"/>
      <c r="E42" s="238"/>
      <c r="F42" s="238"/>
      <c r="G42" s="238"/>
      <c r="H42" s="238"/>
      <c r="I42" s="238"/>
    </row>
    <row r="43" spans="1:9">
      <c r="A43" s="1" t="s">
        <v>311</v>
      </c>
      <c r="B43" s="238">
        <v>0</v>
      </c>
      <c r="C43" s="238">
        <v>0</v>
      </c>
      <c r="D43" s="238">
        <v>0</v>
      </c>
      <c r="E43" s="238">
        <v>37401</v>
      </c>
      <c r="F43" s="238">
        <v>0</v>
      </c>
      <c r="G43" s="238">
        <v>0</v>
      </c>
      <c r="H43" s="238">
        <v>0</v>
      </c>
      <c r="I43" s="238">
        <v>37401</v>
      </c>
    </row>
    <row r="44" spans="1:9">
      <c r="A44" s="1" t="s">
        <v>312</v>
      </c>
      <c r="B44" s="238">
        <v>250</v>
      </c>
      <c r="C44" s="238">
        <v>2750</v>
      </c>
      <c r="D44" s="238">
        <v>16133.61</v>
      </c>
      <c r="E44" s="238">
        <v>1000</v>
      </c>
      <c r="F44" s="238">
        <v>0</v>
      </c>
      <c r="G44" s="238">
        <v>10121.299999999999</v>
      </c>
      <c r="H44" s="238">
        <v>15035.44</v>
      </c>
      <c r="I44" s="238">
        <v>45290.35</v>
      </c>
    </row>
    <row r="45" spans="1:9">
      <c r="A45" s="1" t="s">
        <v>313</v>
      </c>
      <c r="B45" s="238">
        <v>0</v>
      </c>
      <c r="C45" s="238">
        <v>5418</v>
      </c>
      <c r="D45" s="238">
        <v>13233</v>
      </c>
      <c r="E45" s="238">
        <v>2925</v>
      </c>
      <c r="F45" s="238">
        <v>0</v>
      </c>
      <c r="G45" s="238">
        <v>2467</v>
      </c>
      <c r="H45" s="238">
        <v>21808.25</v>
      </c>
      <c r="I45" s="238">
        <v>45851.25</v>
      </c>
    </row>
    <row r="46" spans="1:9">
      <c r="A46" s="1" t="s">
        <v>314</v>
      </c>
      <c r="B46" s="238">
        <v>0</v>
      </c>
      <c r="C46" s="238">
        <v>4674</v>
      </c>
      <c r="D46" s="238">
        <v>5326</v>
      </c>
      <c r="E46" s="238">
        <v>500</v>
      </c>
      <c r="F46" s="238">
        <v>0</v>
      </c>
      <c r="G46" s="238">
        <v>2391.66</v>
      </c>
      <c r="H46" s="238">
        <v>12333.34</v>
      </c>
      <c r="I46" s="238">
        <v>25225</v>
      </c>
    </row>
    <row r="47" spans="1:9">
      <c r="A47" s="1" t="s">
        <v>315</v>
      </c>
      <c r="B47" s="238">
        <v>0</v>
      </c>
      <c r="C47" s="238">
        <v>350</v>
      </c>
      <c r="D47" s="238">
        <v>12532.41</v>
      </c>
      <c r="E47" s="238">
        <v>400</v>
      </c>
      <c r="F47" s="238">
        <v>0</v>
      </c>
      <c r="G47" s="238">
        <v>4220</v>
      </c>
      <c r="H47" s="238">
        <v>8175</v>
      </c>
      <c r="I47" s="238">
        <v>25677.41</v>
      </c>
    </row>
    <row r="48" spans="1:9">
      <c r="A48" s="1" t="s">
        <v>316</v>
      </c>
      <c r="B48" s="238">
        <v>800</v>
      </c>
      <c r="C48" s="238">
        <v>1200</v>
      </c>
      <c r="D48" s="238">
        <v>600</v>
      </c>
      <c r="E48" s="238">
        <v>206.38</v>
      </c>
      <c r="F48" s="238">
        <v>-1900</v>
      </c>
      <c r="G48" s="238">
        <v>1075</v>
      </c>
      <c r="H48" s="238">
        <v>2245</v>
      </c>
      <c r="I48" s="238">
        <v>4226.38</v>
      </c>
    </row>
    <row r="49" spans="1:9">
      <c r="A49" s="1" t="s">
        <v>317</v>
      </c>
      <c r="B49" s="238">
        <v>1050</v>
      </c>
      <c r="C49" s="238">
        <v>14392</v>
      </c>
      <c r="D49" s="238">
        <v>47825.02</v>
      </c>
      <c r="E49" s="238">
        <v>42432.38</v>
      </c>
      <c r="F49" s="238">
        <v>-1900</v>
      </c>
      <c r="G49" s="238">
        <v>20274.96</v>
      </c>
      <c r="H49" s="238">
        <v>59597.03</v>
      </c>
      <c r="I49" s="238">
        <v>183671.39</v>
      </c>
    </row>
    <row r="50" spans="1:9">
      <c r="A50" s="1" t="s">
        <v>318</v>
      </c>
      <c r="B50" s="238">
        <v>0</v>
      </c>
      <c r="C50" s="238">
        <v>0</v>
      </c>
      <c r="D50" s="238">
        <v>0</v>
      </c>
      <c r="E50" s="238">
        <v>-428</v>
      </c>
      <c r="F50" s="238">
        <v>0</v>
      </c>
      <c r="G50" s="238">
        <v>0</v>
      </c>
      <c r="H50" s="238">
        <v>0</v>
      </c>
      <c r="I50" s="238">
        <v>-428</v>
      </c>
    </row>
    <row r="51" spans="1:9">
      <c r="A51" s="1" t="s">
        <v>319</v>
      </c>
      <c r="B51" s="238">
        <v>1082.0899999999999</v>
      </c>
      <c r="C51" s="238">
        <v>27175.19</v>
      </c>
      <c r="D51" s="238">
        <v>181649.05</v>
      </c>
      <c r="E51" s="238">
        <v>45068.49</v>
      </c>
      <c r="F51" s="238">
        <v>-1850.18</v>
      </c>
      <c r="G51" s="238">
        <v>35997.56</v>
      </c>
      <c r="H51" s="238">
        <v>212121.81</v>
      </c>
      <c r="I51" s="238">
        <v>501244.01</v>
      </c>
    </row>
    <row r="52" spans="1:9">
      <c r="A52" s="1" t="s">
        <v>191</v>
      </c>
      <c r="B52" s="238"/>
      <c r="C52" s="238"/>
      <c r="D52" s="238"/>
      <c r="E52" s="238"/>
      <c r="F52" s="238"/>
      <c r="G52" s="238"/>
      <c r="H52" s="238"/>
      <c r="I52" s="238"/>
    </row>
    <row r="53" spans="1:9">
      <c r="A53" s="1" t="s">
        <v>192</v>
      </c>
      <c r="B53" s="238">
        <v>16167.68</v>
      </c>
      <c r="C53" s="238">
        <v>36133.18</v>
      </c>
      <c r="D53" s="238">
        <v>38554.410000000003</v>
      </c>
      <c r="E53" s="238">
        <v>-634.79999999999995</v>
      </c>
      <c r="F53" s="238">
        <v>25388.73</v>
      </c>
      <c r="G53" s="238">
        <v>63756.29</v>
      </c>
      <c r="H53" s="238">
        <v>33476.33</v>
      </c>
      <c r="I53" s="238">
        <v>212841.82</v>
      </c>
    </row>
    <row r="54" spans="1:9">
      <c r="A54" s="1" t="s">
        <v>193</v>
      </c>
      <c r="B54" s="238">
        <v>0</v>
      </c>
      <c r="C54" s="238">
        <v>4790.4799999999996</v>
      </c>
      <c r="D54" s="238">
        <v>9871.1299999999992</v>
      </c>
      <c r="E54" s="238">
        <v>5315.29</v>
      </c>
      <c r="F54" s="238">
        <v>0</v>
      </c>
      <c r="G54" s="238">
        <v>7494.13</v>
      </c>
      <c r="H54" s="238">
        <v>10685.67</v>
      </c>
      <c r="I54" s="238">
        <v>38156.699999999997</v>
      </c>
    </row>
    <row r="55" spans="1:9">
      <c r="A55" s="1" t="s">
        <v>194</v>
      </c>
      <c r="B55" s="238">
        <v>0</v>
      </c>
      <c r="C55" s="238">
        <v>1282.4100000000001</v>
      </c>
      <c r="D55" s="238">
        <v>7212.91</v>
      </c>
      <c r="E55" s="238">
        <v>3675.34</v>
      </c>
      <c r="F55" s="238">
        <v>0</v>
      </c>
      <c r="G55" s="238">
        <v>5540.05</v>
      </c>
      <c r="H55" s="238">
        <v>14672.73</v>
      </c>
      <c r="I55" s="238">
        <v>32383.439999999999</v>
      </c>
    </row>
    <row r="56" spans="1:9">
      <c r="A56" s="1" t="s">
        <v>195</v>
      </c>
      <c r="B56" s="238">
        <v>6816</v>
      </c>
      <c r="C56" s="238">
        <v>137.77000000000001</v>
      </c>
      <c r="D56" s="238">
        <v>4246.8100000000004</v>
      </c>
      <c r="E56" s="238">
        <v>453.82</v>
      </c>
      <c r="F56" s="238">
        <v>2009.76</v>
      </c>
      <c r="G56" s="238">
        <v>3615.3</v>
      </c>
      <c r="H56" s="238">
        <v>8021.18</v>
      </c>
      <c r="I56" s="238">
        <v>25300.639999999999</v>
      </c>
    </row>
    <row r="57" spans="1:9">
      <c r="A57" s="1" t="s">
        <v>196</v>
      </c>
      <c r="B57" s="238">
        <v>0</v>
      </c>
      <c r="C57" s="238">
        <v>8468.43</v>
      </c>
      <c r="D57" s="238">
        <v>981.72</v>
      </c>
      <c r="E57" s="238">
        <v>7272.15</v>
      </c>
      <c r="F57" s="238">
        <v>0</v>
      </c>
      <c r="G57" s="238">
        <v>11683.82</v>
      </c>
      <c r="H57" s="238">
        <v>11766.63</v>
      </c>
      <c r="I57" s="238">
        <v>40172.75</v>
      </c>
    </row>
    <row r="58" spans="1:9">
      <c r="A58" s="1" t="s">
        <v>197</v>
      </c>
      <c r="B58" s="238">
        <v>0</v>
      </c>
      <c r="C58" s="238">
        <v>13.59</v>
      </c>
      <c r="D58" s="238">
        <v>7101.73</v>
      </c>
      <c r="E58" s="238">
        <v>2050.15</v>
      </c>
      <c r="F58" s="238">
        <v>200</v>
      </c>
      <c r="G58" s="238">
        <v>361.34</v>
      </c>
      <c r="H58" s="238">
        <v>431.59</v>
      </c>
      <c r="I58" s="238">
        <v>10158.4</v>
      </c>
    </row>
    <row r="59" spans="1:9">
      <c r="A59" s="1" t="s">
        <v>198</v>
      </c>
      <c r="B59" s="238">
        <v>0</v>
      </c>
      <c r="C59" s="238">
        <v>875.96</v>
      </c>
      <c r="D59" s="238">
        <v>1186.3499999999999</v>
      </c>
      <c r="E59" s="238">
        <v>274.48</v>
      </c>
      <c r="F59" s="238">
        <v>0</v>
      </c>
      <c r="G59" s="238">
        <v>178.41</v>
      </c>
      <c r="H59" s="238">
        <v>2899.32</v>
      </c>
      <c r="I59" s="238">
        <v>5414.52</v>
      </c>
    </row>
    <row r="60" spans="1:9">
      <c r="A60" s="1" t="s">
        <v>199</v>
      </c>
      <c r="B60" s="238">
        <v>0</v>
      </c>
      <c r="C60" s="238">
        <v>1539.25</v>
      </c>
      <c r="D60" s="238">
        <v>1398.2</v>
      </c>
      <c r="E60" s="238">
        <v>630.4</v>
      </c>
      <c r="F60" s="238">
        <v>0</v>
      </c>
      <c r="G60" s="238">
        <v>0</v>
      </c>
      <c r="H60" s="238">
        <v>5714.24</v>
      </c>
      <c r="I60" s="238">
        <v>9282.09</v>
      </c>
    </row>
    <row r="61" spans="1:9">
      <c r="A61" s="1" t="s">
        <v>200</v>
      </c>
      <c r="B61" s="238">
        <v>0</v>
      </c>
      <c r="C61" s="238">
        <v>0</v>
      </c>
      <c r="D61" s="238">
        <v>363.78</v>
      </c>
      <c r="E61" s="238">
        <v>157.66999999999999</v>
      </c>
      <c r="F61" s="238">
        <v>0</v>
      </c>
      <c r="G61" s="238">
        <v>62.34</v>
      </c>
      <c r="H61" s="238">
        <v>257.48</v>
      </c>
      <c r="I61" s="238">
        <v>841.27</v>
      </c>
    </row>
    <row r="62" spans="1:9">
      <c r="A62" s="1" t="s">
        <v>201</v>
      </c>
      <c r="B62" s="238">
        <v>0</v>
      </c>
      <c r="C62" s="238">
        <v>2133.04</v>
      </c>
      <c r="D62" s="238">
        <v>966.77</v>
      </c>
      <c r="E62" s="238">
        <v>1323.27</v>
      </c>
      <c r="F62" s="238">
        <v>22.98</v>
      </c>
      <c r="G62" s="238">
        <v>500.81</v>
      </c>
      <c r="H62" s="238">
        <v>1804.63</v>
      </c>
      <c r="I62" s="238">
        <v>6751.5</v>
      </c>
    </row>
    <row r="63" spans="1:9">
      <c r="A63" s="1" t="s">
        <v>202</v>
      </c>
      <c r="B63" s="238">
        <v>110.7</v>
      </c>
      <c r="C63" s="238">
        <v>2633.6</v>
      </c>
      <c r="D63" s="238">
        <v>0</v>
      </c>
      <c r="E63" s="238">
        <v>0</v>
      </c>
      <c r="F63" s="238">
        <v>0</v>
      </c>
      <c r="G63" s="238">
        <v>358.4</v>
      </c>
      <c r="H63" s="238">
        <v>750</v>
      </c>
      <c r="I63" s="238">
        <v>3852.7</v>
      </c>
    </row>
    <row r="64" spans="1:9">
      <c r="A64" s="1" t="s">
        <v>203</v>
      </c>
      <c r="B64" s="238">
        <v>0</v>
      </c>
      <c r="C64" s="238">
        <v>0</v>
      </c>
      <c r="D64" s="238">
        <v>0</v>
      </c>
      <c r="E64" s="238">
        <v>900</v>
      </c>
      <c r="F64" s="238">
        <v>0</v>
      </c>
      <c r="G64" s="238">
        <v>0</v>
      </c>
      <c r="H64" s="238">
        <v>87.1</v>
      </c>
      <c r="I64" s="238">
        <v>987.1</v>
      </c>
    </row>
    <row r="65" spans="1:9">
      <c r="A65" s="1" t="s">
        <v>204</v>
      </c>
      <c r="B65" s="238">
        <v>23094.38</v>
      </c>
      <c r="C65" s="238">
        <v>58007.71</v>
      </c>
      <c r="D65" s="238">
        <v>71883.81</v>
      </c>
      <c r="E65" s="238">
        <v>21417.77</v>
      </c>
      <c r="F65" s="238">
        <v>27621.47</v>
      </c>
      <c r="G65" s="238">
        <v>93550.89</v>
      </c>
      <c r="H65" s="238">
        <v>90566.9</v>
      </c>
      <c r="I65" s="238">
        <v>386142.93</v>
      </c>
    </row>
    <row r="66" spans="1:9">
      <c r="A66" s="1" t="s">
        <v>205</v>
      </c>
      <c r="B66" s="238">
        <v>24176.47</v>
      </c>
      <c r="C66" s="238">
        <v>85182.9</v>
      </c>
      <c r="D66" s="238">
        <v>253532.86</v>
      </c>
      <c r="E66" s="238">
        <v>66486.259999999995</v>
      </c>
      <c r="F66" s="238">
        <v>25771.29</v>
      </c>
      <c r="G66" s="238">
        <v>129548.45</v>
      </c>
      <c r="H66" s="238">
        <v>302688.71000000002</v>
      </c>
      <c r="I66" s="238">
        <v>887386.94</v>
      </c>
    </row>
    <row r="67" spans="1:9">
      <c r="A67" s="1" t="s">
        <v>320</v>
      </c>
      <c r="B67" s="238">
        <v>0</v>
      </c>
      <c r="C67" s="238">
        <v>99.99</v>
      </c>
      <c r="D67" s="238">
        <v>0</v>
      </c>
      <c r="E67" s="238">
        <v>0</v>
      </c>
      <c r="F67" s="238">
        <v>0</v>
      </c>
      <c r="G67" s="238">
        <v>0</v>
      </c>
      <c r="H67" s="238">
        <v>-164</v>
      </c>
      <c r="I67" s="238">
        <v>-64.010000000000005</v>
      </c>
    </row>
    <row r="68" spans="1:9">
      <c r="A68" s="1" t="s">
        <v>321</v>
      </c>
      <c r="B68" s="238">
        <v>25000</v>
      </c>
      <c r="C68" s="238">
        <v>0</v>
      </c>
      <c r="D68" s="238">
        <v>0</v>
      </c>
      <c r="E68" s="238">
        <v>-25370</v>
      </c>
      <c r="F68" s="238">
        <v>0</v>
      </c>
      <c r="G68" s="238">
        <v>0</v>
      </c>
      <c r="H68" s="238">
        <v>0</v>
      </c>
      <c r="I68" s="238">
        <v>-370</v>
      </c>
    </row>
    <row r="69" spans="1:9">
      <c r="A69" s="1" t="s">
        <v>322</v>
      </c>
      <c r="B69" s="238"/>
      <c r="C69" s="238"/>
      <c r="D69" s="238"/>
      <c r="E69" s="238"/>
      <c r="F69" s="238"/>
      <c r="G69" s="238"/>
      <c r="H69" s="238"/>
      <c r="I69" s="238"/>
    </row>
    <row r="70" spans="1:9">
      <c r="A70" s="1" t="s">
        <v>323</v>
      </c>
      <c r="B70" s="238"/>
      <c r="C70" s="238"/>
      <c r="D70" s="238"/>
      <c r="E70" s="238"/>
      <c r="F70" s="238"/>
      <c r="G70" s="238"/>
      <c r="H70" s="238"/>
      <c r="I70" s="238"/>
    </row>
    <row r="71" spans="1:9">
      <c r="A71" s="1" t="s">
        <v>324</v>
      </c>
      <c r="B71" s="238">
        <v>24431.81</v>
      </c>
      <c r="C71" s="238">
        <v>26457.19</v>
      </c>
      <c r="D71" s="238">
        <v>30579.39</v>
      </c>
      <c r="E71" s="238">
        <v>28641.38</v>
      </c>
      <c r="F71" s="238">
        <v>31686.6</v>
      </c>
      <c r="G71" s="238">
        <v>31170.63</v>
      </c>
      <c r="H71" s="238">
        <v>35880.06</v>
      </c>
      <c r="I71" s="238">
        <v>208847.06</v>
      </c>
    </row>
    <row r="72" spans="1:9">
      <c r="A72" s="1" t="s">
        <v>325</v>
      </c>
      <c r="B72" s="238">
        <v>9784.82</v>
      </c>
      <c r="C72" s="238">
        <v>9786.1299999999992</v>
      </c>
      <c r="D72" s="238">
        <v>11470.03</v>
      </c>
      <c r="E72" s="238">
        <v>10011.43</v>
      </c>
      <c r="F72" s="238">
        <v>13987.23</v>
      </c>
      <c r="G72" s="238">
        <v>10890.6</v>
      </c>
      <c r="H72" s="238">
        <v>12963.63</v>
      </c>
      <c r="I72" s="238">
        <v>78893.87</v>
      </c>
    </row>
    <row r="73" spans="1:9">
      <c r="A73" s="1" t="s">
        <v>326</v>
      </c>
      <c r="B73" s="238">
        <v>0</v>
      </c>
      <c r="C73" s="238">
        <v>0</v>
      </c>
      <c r="D73" s="238">
        <v>0</v>
      </c>
      <c r="E73" s="238">
        <v>0</v>
      </c>
      <c r="F73" s="238">
        <v>0</v>
      </c>
      <c r="G73" s="238">
        <v>1992</v>
      </c>
      <c r="H73" s="238">
        <v>0</v>
      </c>
      <c r="I73" s="238">
        <v>1992</v>
      </c>
    </row>
    <row r="74" spans="1:9">
      <c r="A74" s="1" t="s">
        <v>327</v>
      </c>
      <c r="B74" s="238">
        <v>2499</v>
      </c>
      <c r="C74" s="238">
        <v>0</v>
      </c>
      <c r="D74" s="238">
        <v>0</v>
      </c>
      <c r="E74" s="238">
        <v>-1041</v>
      </c>
      <c r="F74" s="238">
        <v>0</v>
      </c>
      <c r="G74" s="238">
        <v>2627</v>
      </c>
      <c r="H74" s="238">
        <v>0</v>
      </c>
      <c r="I74" s="238">
        <v>4085</v>
      </c>
    </row>
    <row r="75" spans="1:9">
      <c r="A75" s="1" t="s">
        <v>328</v>
      </c>
      <c r="B75" s="238">
        <v>1694.61</v>
      </c>
      <c r="C75" s="238">
        <v>539.64</v>
      </c>
      <c r="D75" s="238">
        <v>926.23</v>
      </c>
      <c r="E75" s="238">
        <v>652.92999999999995</v>
      </c>
      <c r="F75" s="238">
        <v>1108.72</v>
      </c>
      <c r="G75" s="238">
        <v>584.5</v>
      </c>
      <c r="H75" s="238">
        <v>1034.3</v>
      </c>
      <c r="I75" s="238">
        <v>6540.93</v>
      </c>
    </row>
    <row r="76" spans="1:9">
      <c r="A76" s="1" t="s">
        <v>329</v>
      </c>
      <c r="B76" s="238">
        <v>38410.239999999998</v>
      </c>
      <c r="C76" s="238">
        <v>36782.959999999999</v>
      </c>
      <c r="D76" s="238">
        <v>42975.65</v>
      </c>
      <c r="E76" s="238">
        <v>38264.74</v>
      </c>
      <c r="F76" s="238">
        <v>46782.55</v>
      </c>
      <c r="G76" s="238">
        <v>47264.73</v>
      </c>
      <c r="H76" s="238">
        <v>49877.99</v>
      </c>
      <c r="I76" s="238">
        <v>300358.86</v>
      </c>
    </row>
    <row r="77" spans="1:9">
      <c r="A77" s="1" t="s">
        <v>330</v>
      </c>
      <c r="B77" s="238"/>
      <c r="C77" s="238"/>
      <c r="D77" s="238"/>
      <c r="E77" s="238"/>
      <c r="F77" s="238"/>
      <c r="G77" s="238"/>
      <c r="H77" s="238"/>
      <c r="I77" s="238"/>
    </row>
    <row r="78" spans="1:9">
      <c r="A78" s="1" t="s">
        <v>331</v>
      </c>
      <c r="B78" s="238">
        <v>4637.3100000000004</v>
      </c>
      <c r="C78" s="238">
        <v>1501.79</v>
      </c>
      <c r="D78" s="238">
        <v>1991.32</v>
      </c>
      <c r="E78" s="238">
        <v>2017.32</v>
      </c>
      <c r="F78" s="238">
        <v>6049.87</v>
      </c>
      <c r="G78" s="238">
        <v>4411.07</v>
      </c>
      <c r="H78" s="238">
        <v>2227.62</v>
      </c>
      <c r="I78" s="238">
        <v>22836.3</v>
      </c>
    </row>
    <row r="79" spans="1:9">
      <c r="A79" s="1" t="s">
        <v>332</v>
      </c>
      <c r="B79" s="238">
        <v>255.3</v>
      </c>
      <c r="C79" s="238">
        <v>315</v>
      </c>
      <c r="D79" s="238">
        <v>141.24</v>
      </c>
      <c r="E79" s="238">
        <v>492.96</v>
      </c>
      <c r="F79" s="238">
        <v>455.49</v>
      </c>
      <c r="G79" s="238">
        <v>218.97</v>
      </c>
      <c r="H79" s="238">
        <v>265.87</v>
      </c>
      <c r="I79" s="238">
        <v>2144.83</v>
      </c>
    </row>
    <row r="80" spans="1:9">
      <c r="A80" s="1" t="s">
        <v>333</v>
      </c>
      <c r="B80" s="238">
        <v>3929.65</v>
      </c>
      <c r="C80" s="238">
        <v>752.18</v>
      </c>
      <c r="D80" s="238">
        <v>0</v>
      </c>
      <c r="E80" s="238">
        <v>746.2</v>
      </c>
      <c r="F80" s="238">
        <v>3590.24</v>
      </c>
      <c r="G80" s="238">
        <v>171.24</v>
      </c>
      <c r="H80" s="238">
        <v>177.6</v>
      </c>
      <c r="I80" s="238">
        <v>9367.11</v>
      </c>
    </row>
    <row r="81" spans="1:9">
      <c r="A81" s="1" t="s">
        <v>334</v>
      </c>
      <c r="B81" s="238">
        <v>200</v>
      </c>
      <c r="C81" s="238">
        <v>0</v>
      </c>
      <c r="D81" s="238">
        <v>11599.92</v>
      </c>
      <c r="E81" s="238">
        <v>364</v>
      </c>
      <c r="F81" s="238">
        <v>3500</v>
      </c>
      <c r="G81" s="238">
        <v>0</v>
      </c>
      <c r="H81" s="238">
        <v>29142.83</v>
      </c>
      <c r="I81" s="238">
        <v>44806.75</v>
      </c>
    </row>
    <row r="82" spans="1:9">
      <c r="A82" s="1" t="s">
        <v>426</v>
      </c>
      <c r="B82" s="238">
        <v>0</v>
      </c>
      <c r="C82" s="238">
        <v>0</v>
      </c>
      <c r="D82" s="238">
        <v>0</v>
      </c>
      <c r="E82" s="238">
        <v>54.44</v>
      </c>
      <c r="F82" s="238">
        <v>0</v>
      </c>
      <c r="G82" s="238">
        <v>0</v>
      </c>
      <c r="H82" s="238">
        <v>0</v>
      </c>
      <c r="I82" s="238">
        <v>54.44</v>
      </c>
    </row>
    <row r="83" spans="1:9">
      <c r="A83" s="1" t="s">
        <v>335</v>
      </c>
      <c r="B83" s="238">
        <v>9022.26</v>
      </c>
      <c r="C83" s="238">
        <v>2568.9699999999998</v>
      </c>
      <c r="D83" s="238">
        <v>13732.48</v>
      </c>
      <c r="E83" s="238">
        <v>3674.92</v>
      </c>
      <c r="F83" s="238">
        <v>13595.6</v>
      </c>
      <c r="G83" s="238">
        <v>4801.28</v>
      </c>
      <c r="H83" s="238">
        <v>31813.919999999998</v>
      </c>
      <c r="I83" s="238">
        <v>79209.429999999993</v>
      </c>
    </row>
    <row r="84" spans="1:9">
      <c r="A84" s="1" t="s">
        <v>336</v>
      </c>
      <c r="B84" s="238"/>
      <c r="C84" s="238"/>
      <c r="D84" s="238"/>
      <c r="E84" s="238"/>
      <c r="F84" s="238"/>
      <c r="G84" s="238"/>
      <c r="H84" s="238"/>
      <c r="I84" s="238"/>
    </row>
    <row r="85" spans="1:9">
      <c r="A85" s="1" t="s">
        <v>337</v>
      </c>
      <c r="B85" s="238">
        <v>507.6</v>
      </c>
      <c r="C85" s="238">
        <v>2887</v>
      </c>
      <c r="D85" s="238">
        <v>458.5</v>
      </c>
      <c r="E85" s="238">
        <v>590</v>
      </c>
      <c r="F85" s="238">
        <v>0</v>
      </c>
      <c r="G85" s="238">
        <v>531</v>
      </c>
      <c r="H85" s="238">
        <v>254.12</v>
      </c>
      <c r="I85" s="238">
        <v>5228.22</v>
      </c>
    </row>
    <row r="86" spans="1:9">
      <c r="A86" s="1" t="s">
        <v>338</v>
      </c>
      <c r="B86" s="238">
        <v>460.22</v>
      </c>
      <c r="C86" s="238">
        <v>570</v>
      </c>
      <c r="D86" s="238">
        <v>42.5</v>
      </c>
      <c r="E86" s="238">
        <v>88</v>
      </c>
      <c r="F86" s="238">
        <v>0</v>
      </c>
      <c r="G86" s="238">
        <v>0</v>
      </c>
      <c r="H86" s="238">
        <v>0</v>
      </c>
      <c r="I86" s="238">
        <v>1160.72</v>
      </c>
    </row>
    <row r="87" spans="1:9">
      <c r="A87" s="1" t="s">
        <v>339</v>
      </c>
      <c r="B87" s="238">
        <v>62.04</v>
      </c>
      <c r="C87" s="238">
        <v>78.209999999999994</v>
      </c>
      <c r="D87" s="238">
        <v>0</v>
      </c>
      <c r="E87" s="238">
        <v>136.83000000000001</v>
      </c>
      <c r="F87" s="238">
        <v>26.55</v>
      </c>
      <c r="G87" s="238">
        <v>0</v>
      </c>
      <c r="H87" s="238">
        <v>1027.98</v>
      </c>
      <c r="I87" s="238">
        <v>1331.61</v>
      </c>
    </row>
    <row r="88" spans="1:9">
      <c r="A88" s="1" t="s">
        <v>340</v>
      </c>
      <c r="B88" s="238">
        <v>991.1</v>
      </c>
      <c r="C88" s="238">
        <v>1149.18</v>
      </c>
      <c r="D88" s="238">
        <v>845.47</v>
      </c>
      <c r="E88" s="238">
        <v>1391.94</v>
      </c>
      <c r="F88" s="238">
        <v>1505.94</v>
      </c>
      <c r="G88" s="238">
        <v>1003.96</v>
      </c>
      <c r="H88" s="238">
        <v>902.59</v>
      </c>
      <c r="I88" s="238">
        <v>7790.18</v>
      </c>
    </row>
    <row r="89" spans="1:9">
      <c r="A89" s="1" t="s">
        <v>341</v>
      </c>
      <c r="B89" s="238">
        <v>300</v>
      </c>
      <c r="C89" s="238">
        <v>0</v>
      </c>
      <c r="D89" s="238">
        <v>1490</v>
      </c>
      <c r="E89" s="238">
        <v>0</v>
      </c>
      <c r="F89" s="238">
        <v>0</v>
      </c>
      <c r="G89" s="238">
        <v>0</v>
      </c>
      <c r="H89" s="238">
        <v>0</v>
      </c>
      <c r="I89" s="238">
        <v>1790</v>
      </c>
    </row>
    <row r="90" spans="1:9">
      <c r="A90" s="1" t="s">
        <v>342</v>
      </c>
      <c r="B90" s="238">
        <v>1307.9000000000001</v>
      </c>
      <c r="C90" s="238">
        <v>1310.29</v>
      </c>
      <c r="D90" s="238">
        <v>750</v>
      </c>
      <c r="E90" s="238">
        <v>0</v>
      </c>
      <c r="F90" s="238">
        <v>0</v>
      </c>
      <c r="G90" s="238">
        <v>0</v>
      </c>
      <c r="H90" s="238">
        <v>0</v>
      </c>
      <c r="I90" s="238">
        <v>3368.19</v>
      </c>
    </row>
    <row r="91" spans="1:9">
      <c r="A91" s="1" t="s">
        <v>343</v>
      </c>
      <c r="B91" s="238">
        <v>3628.86</v>
      </c>
      <c r="C91" s="238">
        <v>5994.68</v>
      </c>
      <c r="D91" s="238">
        <v>3586.47</v>
      </c>
      <c r="E91" s="238">
        <v>2206.77</v>
      </c>
      <c r="F91" s="238">
        <v>1532.49</v>
      </c>
      <c r="G91" s="238">
        <v>1534.96</v>
      </c>
      <c r="H91" s="238">
        <v>2184.69</v>
      </c>
      <c r="I91" s="238">
        <v>20668.919999999998</v>
      </c>
    </row>
    <row r="92" spans="1:9">
      <c r="A92" s="1" t="s">
        <v>344</v>
      </c>
      <c r="B92" s="238"/>
      <c r="C92" s="238"/>
      <c r="D92" s="238"/>
      <c r="E92" s="238"/>
      <c r="F92" s="238"/>
      <c r="G92" s="238"/>
      <c r="H92" s="238"/>
      <c r="I92" s="238"/>
    </row>
    <row r="93" spans="1:9">
      <c r="A93" s="1" t="s">
        <v>345</v>
      </c>
      <c r="B93" s="238">
        <v>25.99</v>
      </c>
      <c r="C93" s="238">
        <v>0</v>
      </c>
      <c r="D93" s="238">
        <v>0</v>
      </c>
      <c r="E93" s="238">
        <v>35</v>
      </c>
      <c r="F93" s="238">
        <v>5</v>
      </c>
      <c r="G93" s="238">
        <v>28</v>
      </c>
      <c r="H93" s="238">
        <v>0</v>
      </c>
      <c r="I93" s="238">
        <v>93.99</v>
      </c>
    </row>
    <row r="94" spans="1:9">
      <c r="A94" s="1" t="s">
        <v>346</v>
      </c>
      <c r="B94" s="238">
        <v>99.75</v>
      </c>
      <c r="C94" s="238">
        <v>3336.91</v>
      </c>
      <c r="D94" s="238">
        <v>7951.28</v>
      </c>
      <c r="E94" s="238">
        <v>1387.05</v>
      </c>
      <c r="F94" s="238">
        <v>517.51</v>
      </c>
      <c r="G94" s="238">
        <v>2444.4499999999998</v>
      </c>
      <c r="H94" s="238">
        <v>9129.36</v>
      </c>
      <c r="I94" s="238">
        <v>24866.31</v>
      </c>
    </row>
    <row r="95" spans="1:9">
      <c r="A95" s="1" t="s">
        <v>347</v>
      </c>
      <c r="B95" s="238">
        <v>125.74</v>
      </c>
      <c r="C95" s="238">
        <v>3336.91</v>
      </c>
      <c r="D95" s="238">
        <v>7951.28</v>
      </c>
      <c r="E95" s="238">
        <v>1422.05</v>
      </c>
      <c r="F95" s="238">
        <v>522.51</v>
      </c>
      <c r="G95" s="238">
        <v>2472.4499999999998</v>
      </c>
      <c r="H95" s="238">
        <v>9129.36</v>
      </c>
      <c r="I95" s="238">
        <v>24960.3</v>
      </c>
    </row>
    <row r="96" spans="1:9">
      <c r="A96" s="1" t="s">
        <v>348</v>
      </c>
      <c r="B96" s="238"/>
      <c r="C96" s="238"/>
      <c r="D96" s="238"/>
      <c r="E96" s="238"/>
      <c r="F96" s="238"/>
      <c r="G96" s="238"/>
      <c r="H96" s="238"/>
      <c r="I96" s="238"/>
    </row>
    <row r="97" spans="1:9">
      <c r="A97" s="1" t="s">
        <v>349</v>
      </c>
      <c r="B97" s="238">
        <v>4621.45</v>
      </c>
      <c r="C97" s="238">
        <v>0</v>
      </c>
      <c r="D97" s="238">
        <v>1500</v>
      </c>
      <c r="E97" s="238">
        <v>0</v>
      </c>
      <c r="F97" s="238">
        <v>4950</v>
      </c>
      <c r="G97" s="238">
        <v>0</v>
      </c>
      <c r="H97" s="238">
        <v>330</v>
      </c>
      <c r="I97" s="238">
        <v>11401.45</v>
      </c>
    </row>
    <row r="98" spans="1:9">
      <c r="A98" s="1" t="s">
        <v>350</v>
      </c>
      <c r="B98" s="238">
        <v>0</v>
      </c>
      <c r="C98" s="238">
        <v>0</v>
      </c>
      <c r="D98" s="238">
        <v>0</v>
      </c>
      <c r="E98" s="238">
        <v>27557.53</v>
      </c>
      <c r="F98" s="238">
        <v>0</v>
      </c>
      <c r="G98" s="238">
        <v>2500</v>
      </c>
      <c r="H98" s="238">
        <v>0</v>
      </c>
      <c r="I98" s="238">
        <v>30057.53</v>
      </c>
    </row>
    <row r="99" spans="1:9">
      <c r="A99" s="1" t="s">
        <v>351</v>
      </c>
      <c r="B99" s="238">
        <v>4740</v>
      </c>
      <c r="C99" s="238">
        <v>1125</v>
      </c>
      <c r="D99" s="238">
        <v>1980</v>
      </c>
      <c r="E99" s="238">
        <v>4927.5</v>
      </c>
      <c r="F99" s="238">
        <v>0</v>
      </c>
      <c r="G99" s="238">
        <v>0</v>
      </c>
      <c r="H99" s="238">
        <v>0</v>
      </c>
      <c r="I99" s="238">
        <v>12772.5</v>
      </c>
    </row>
    <row r="100" spans="1:9">
      <c r="A100" s="1" t="s">
        <v>352</v>
      </c>
      <c r="B100" s="238">
        <v>1776.48</v>
      </c>
      <c r="C100" s="238">
        <v>5150.72</v>
      </c>
      <c r="D100" s="238">
        <v>25202.22</v>
      </c>
      <c r="E100" s="238">
        <v>-762.28</v>
      </c>
      <c r="F100" s="238">
        <v>2416.88</v>
      </c>
      <c r="G100" s="238">
        <v>4397.32</v>
      </c>
      <c r="H100" s="238">
        <v>8323.52</v>
      </c>
      <c r="I100" s="238">
        <v>46504.86</v>
      </c>
    </row>
    <row r="101" spans="1:9">
      <c r="A101" s="1" t="s">
        <v>353</v>
      </c>
      <c r="B101" s="238">
        <v>0</v>
      </c>
      <c r="C101" s="238">
        <v>0</v>
      </c>
      <c r="D101" s="238">
        <v>0</v>
      </c>
      <c r="E101" s="238">
        <v>0</v>
      </c>
      <c r="F101" s="238">
        <v>0</v>
      </c>
      <c r="G101" s="238">
        <v>0</v>
      </c>
      <c r="H101" s="238">
        <v>0</v>
      </c>
      <c r="I101" s="238">
        <v>0</v>
      </c>
    </row>
    <row r="102" spans="1:9">
      <c r="A102" s="1" t="s">
        <v>354</v>
      </c>
      <c r="B102" s="238">
        <v>11137.93</v>
      </c>
      <c r="C102" s="238">
        <v>6275.72</v>
      </c>
      <c r="D102" s="238">
        <v>28682.22</v>
      </c>
      <c r="E102" s="238">
        <v>31722.75</v>
      </c>
      <c r="F102" s="238">
        <v>7366.88</v>
      </c>
      <c r="G102" s="238">
        <v>6897.32</v>
      </c>
      <c r="H102" s="238">
        <v>8653.52</v>
      </c>
      <c r="I102" s="238">
        <v>100736.34</v>
      </c>
    </row>
    <row r="103" spans="1:9">
      <c r="A103" s="1" t="s">
        <v>355</v>
      </c>
      <c r="B103" s="238"/>
      <c r="C103" s="238"/>
      <c r="D103" s="238"/>
      <c r="E103" s="238"/>
      <c r="F103" s="238"/>
      <c r="G103" s="238"/>
      <c r="H103" s="238"/>
      <c r="I103" s="238"/>
    </row>
    <row r="104" spans="1:9">
      <c r="A104" s="1" t="s">
        <v>356</v>
      </c>
      <c r="B104" s="238">
        <v>409.48</v>
      </c>
      <c r="C104" s="238">
        <v>4074.45</v>
      </c>
      <c r="D104" s="238">
        <v>7243.45</v>
      </c>
      <c r="E104" s="238">
        <v>4279.88</v>
      </c>
      <c r="F104" s="238">
        <v>1835.71</v>
      </c>
      <c r="G104" s="238">
        <v>7937.56</v>
      </c>
      <c r="H104" s="238">
        <v>9590.02</v>
      </c>
      <c r="I104" s="238">
        <v>35370.550000000003</v>
      </c>
    </row>
    <row r="105" spans="1:9">
      <c r="A105" s="1" t="s">
        <v>357</v>
      </c>
      <c r="B105" s="238">
        <v>7143.67</v>
      </c>
      <c r="C105" s="238">
        <v>3041.93</v>
      </c>
      <c r="D105" s="238">
        <v>7267.85</v>
      </c>
      <c r="E105" s="238">
        <v>5902.76</v>
      </c>
      <c r="F105" s="238">
        <v>5548.11</v>
      </c>
      <c r="G105" s="238">
        <v>6165.81</v>
      </c>
      <c r="H105" s="238">
        <v>6604.65</v>
      </c>
      <c r="I105" s="238">
        <v>41674.78</v>
      </c>
    </row>
    <row r="106" spans="1:9">
      <c r="A106" s="1" t="s">
        <v>358</v>
      </c>
      <c r="B106" s="238">
        <v>-120</v>
      </c>
      <c r="C106" s="238">
        <v>48.86</v>
      </c>
      <c r="D106" s="238">
        <v>792.81</v>
      </c>
      <c r="E106" s="238">
        <v>875.94</v>
      </c>
      <c r="F106" s="238">
        <v>1416.13</v>
      </c>
      <c r="G106" s="238">
        <v>1662.31</v>
      </c>
      <c r="H106" s="238">
        <v>1678.06</v>
      </c>
      <c r="I106" s="238">
        <v>6354.11</v>
      </c>
    </row>
    <row r="107" spans="1:9">
      <c r="A107" s="1" t="s">
        <v>359</v>
      </c>
      <c r="B107" s="238">
        <v>0</v>
      </c>
      <c r="C107" s="238">
        <v>4558.49</v>
      </c>
      <c r="D107" s="238">
        <v>0</v>
      </c>
      <c r="E107" s="238">
        <v>1790</v>
      </c>
      <c r="F107" s="238">
        <v>0</v>
      </c>
      <c r="G107" s="238">
        <v>0</v>
      </c>
      <c r="H107" s="238">
        <v>0</v>
      </c>
      <c r="I107" s="238">
        <v>6348.49</v>
      </c>
    </row>
    <row r="108" spans="1:9">
      <c r="A108" s="1" t="s">
        <v>360</v>
      </c>
      <c r="B108" s="238">
        <v>7433.15</v>
      </c>
      <c r="C108" s="238">
        <v>11723.73</v>
      </c>
      <c r="D108" s="238">
        <v>15304.11</v>
      </c>
      <c r="E108" s="238">
        <v>12848.58</v>
      </c>
      <c r="F108" s="238">
        <v>8799.9500000000007</v>
      </c>
      <c r="G108" s="238">
        <v>15765.68</v>
      </c>
      <c r="H108" s="238">
        <v>17872.73</v>
      </c>
      <c r="I108" s="238">
        <v>89747.93</v>
      </c>
    </row>
    <row r="109" spans="1:9">
      <c r="A109" s="1" t="s">
        <v>361</v>
      </c>
      <c r="B109" s="238"/>
      <c r="C109" s="238"/>
      <c r="D109" s="238"/>
      <c r="E109" s="238"/>
      <c r="F109" s="238"/>
      <c r="G109" s="238"/>
      <c r="H109" s="238"/>
      <c r="I109" s="238"/>
    </row>
    <row r="110" spans="1:9">
      <c r="A110" s="1" t="s">
        <v>362</v>
      </c>
      <c r="B110" s="238">
        <v>78.66</v>
      </c>
      <c r="C110" s="238">
        <v>1431.55</v>
      </c>
      <c r="D110" s="238">
        <v>2999.44</v>
      </c>
      <c r="E110" s="238">
        <v>2636.13</v>
      </c>
      <c r="F110" s="238">
        <v>2725.22</v>
      </c>
      <c r="G110" s="238">
        <v>1817.12</v>
      </c>
      <c r="H110" s="238">
        <v>2434.87</v>
      </c>
      <c r="I110" s="238">
        <v>14122.99</v>
      </c>
    </row>
    <row r="111" spans="1:9">
      <c r="A111" s="1" t="s">
        <v>363</v>
      </c>
      <c r="B111" s="238">
        <v>0</v>
      </c>
      <c r="C111" s="238">
        <v>0</v>
      </c>
      <c r="D111" s="238">
        <v>2447.75</v>
      </c>
      <c r="E111" s="238">
        <v>0</v>
      </c>
      <c r="F111" s="238">
        <v>0</v>
      </c>
      <c r="G111" s="238">
        <v>0</v>
      </c>
      <c r="H111" s="238">
        <v>4979.67</v>
      </c>
      <c r="I111" s="238">
        <v>7427.42</v>
      </c>
    </row>
    <row r="112" spans="1:9">
      <c r="A112" s="1" t="s">
        <v>364</v>
      </c>
      <c r="B112" s="238">
        <v>151.53</v>
      </c>
      <c r="C112" s="238">
        <v>723.64</v>
      </c>
      <c r="D112" s="238">
        <v>1802.56</v>
      </c>
      <c r="E112" s="238">
        <v>1951.41</v>
      </c>
      <c r="F112" s="238">
        <v>1010.72</v>
      </c>
      <c r="G112" s="238">
        <v>1857.54</v>
      </c>
      <c r="H112" s="238">
        <v>518.54999999999995</v>
      </c>
      <c r="I112" s="238">
        <v>8015.95</v>
      </c>
    </row>
    <row r="113" spans="1:9">
      <c r="A113" s="1" t="s">
        <v>365</v>
      </c>
      <c r="B113" s="238">
        <v>75.06</v>
      </c>
      <c r="C113" s="238">
        <v>120.48</v>
      </c>
      <c r="D113" s="238">
        <v>399.62</v>
      </c>
      <c r="E113" s="238">
        <v>553.05999999999995</v>
      </c>
      <c r="F113" s="238">
        <v>401.97</v>
      </c>
      <c r="G113" s="238">
        <v>873.61</v>
      </c>
      <c r="H113" s="238">
        <v>1278.6400000000001</v>
      </c>
      <c r="I113" s="238">
        <v>3702.44</v>
      </c>
    </row>
    <row r="114" spans="1:9">
      <c r="A114" s="1" t="s">
        <v>366</v>
      </c>
      <c r="B114" s="238">
        <v>2.25</v>
      </c>
      <c r="C114" s="238">
        <v>304.35000000000002</v>
      </c>
      <c r="D114" s="238">
        <v>11719.43</v>
      </c>
      <c r="E114" s="238">
        <v>1635.02</v>
      </c>
      <c r="F114" s="238">
        <v>55.55</v>
      </c>
      <c r="G114" s="238">
        <v>1330.25</v>
      </c>
      <c r="H114" s="238">
        <v>11791.15</v>
      </c>
      <c r="I114" s="238">
        <v>26838</v>
      </c>
    </row>
    <row r="115" spans="1:9">
      <c r="A115" s="1" t="s">
        <v>367</v>
      </c>
      <c r="B115" s="238">
        <v>0</v>
      </c>
      <c r="C115" s="238">
        <v>2481.25</v>
      </c>
      <c r="D115" s="238">
        <v>4329.08</v>
      </c>
      <c r="E115" s="238">
        <v>5355.33</v>
      </c>
      <c r="F115" s="238">
        <v>29.99</v>
      </c>
      <c r="G115" s="238">
        <v>803.11</v>
      </c>
      <c r="H115" s="238">
        <v>6050.31</v>
      </c>
      <c r="I115" s="238">
        <v>19049.07</v>
      </c>
    </row>
    <row r="116" spans="1:9">
      <c r="A116" s="1" t="s">
        <v>368</v>
      </c>
      <c r="B116" s="238">
        <v>0</v>
      </c>
      <c r="C116" s="238">
        <v>0</v>
      </c>
      <c r="D116" s="238">
        <v>0</v>
      </c>
      <c r="E116" s="238">
        <v>715.63</v>
      </c>
      <c r="F116" s="238">
        <v>95.05</v>
      </c>
      <c r="G116" s="238">
        <v>107.78</v>
      </c>
      <c r="H116" s="238">
        <v>775.8</v>
      </c>
      <c r="I116" s="238">
        <v>1694.26</v>
      </c>
    </row>
    <row r="117" spans="1:9">
      <c r="A117" s="1" t="s">
        <v>369</v>
      </c>
      <c r="B117" s="238">
        <v>0</v>
      </c>
      <c r="C117" s="238">
        <v>500</v>
      </c>
      <c r="D117" s="238">
        <v>0</v>
      </c>
      <c r="E117" s="238">
        <v>0</v>
      </c>
      <c r="F117" s="238">
        <v>0</v>
      </c>
      <c r="G117" s="238">
        <v>0</v>
      </c>
      <c r="H117" s="238">
        <v>280</v>
      </c>
      <c r="I117" s="238">
        <v>780</v>
      </c>
    </row>
    <row r="118" spans="1:9">
      <c r="A118" s="1" t="s">
        <v>370</v>
      </c>
      <c r="B118" s="238">
        <v>307.5</v>
      </c>
      <c r="C118" s="238">
        <v>5561.27</v>
      </c>
      <c r="D118" s="238">
        <v>23697.88</v>
      </c>
      <c r="E118" s="238">
        <v>12846.58</v>
      </c>
      <c r="F118" s="238">
        <v>4318.5</v>
      </c>
      <c r="G118" s="238">
        <v>6789.41</v>
      </c>
      <c r="H118" s="238">
        <v>28108.99</v>
      </c>
      <c r="I118" s="238">
        <v>81630.13</v>
      </c>
    </row>
    <row r="119" spans="1:9">
      <c r="A119" s="1" t="s">
        <v>371</v>
      </c>
      <c r="B119" s="238"/>
      <c r="C119" s="238"/>
      <c r="D119" s="238"/>
      <c r="E119" s="238"/>
      <c r="F119" s="238"/>
      <c r="G119" s="238"/>
      <c r="H119" s="238"/>
      <c r="I119" s="238"/>
    </row>
    <row r="120" spans="1:9">
      <c r="A120" s="1" t="s">
        <v>372</v>
      </c>
      <c r="B120" s="238">
        <v>509.81</v>
      </c>
      <c r="C120" s="238">
        <v>8319.35</v>
      </c>
      <c r="D120" s="238">
        <v>4163</v>
      </c>
      <c r="E120" s="238">
        <v>8511.01</v>
      </c>
      <c r="F120" s="238">
        <v>3432.03</v>
      </c>
      <c r="G120" s="238">
        <v>371.6</v>
      </c>
      <c r="H120" s="238">
        <v>10799.52</v>
      </c>
      <c r="I120" s="238">
        <v>36106.32</v>
      </c>
    </row>
    <row r="121" spans="1:9">
      <c r="A121" s="1" t="s">
        <v>373</v>
      </c>
      <c r="B121" s="238">
        <v>150</v>
      </c>
      <c r="C121" s="238">
        <v>1687.5</v>
      </c>
      <c r="D121" s="238">
        <v>2033.5</v>
      </c>
      <c r="E121" s="238">
        <v>0</v>
      </c>
      <c r="F121" s="238">
        <v>0</v>
      </c>
      <c r="G121" s="238">
        <v>0</v>
      </c>
      <c r="H121" s="238">
        <v>0</v>
      </c>
      <c r="I121" s="238">
        <v>3871</v>
      </c>
    </row>
    <row r="122" spans="1:9">
      <c r="A122" s="1" t="s">
        <v>374</v>
      </c>
      <c r="B122" s="238">
        <v>0</v>
      </c>
      <c r="C122" s="238">
        <v>966.5</v>
      </c>
      <c r="D122" s="238">
        <v>0</v>
      </c>
      <c r="E122" s="238">
        <v>0</v>
      </c>
      <c r="F122" s="238">
        <v>0</v>
      </c>
      <c r="G122" s="238">
        <v>15000</v>
      </c>
      <c r="H122" s="238">
        <v>0</v>
      </c>
      <c r="I122" s="238">
        <v>15966.5</v>
      </c>
    </row>
    <row r="123" spans="1:9">
      <c r="A123" s="1" t="s">
        <v>375</v>
      </c>
      <c r="B123" s="238">
        <v>659.81</v>
      </c>
      <c r="C123" s="238">
        <v>10973.35</v>
      </c>
      <c r="D123" s="238">
        <v>6196.5</v>
      </c>
      <c r="E123" s="238">
        <v>8511.01</v>
      </c>
      <c r="F123" s="238">
        <v>3432.03</v>
      </c>
      <c r="G123" s="238">
        <v>15371.6</v>
      </c>
      <c r="H123" s="238">
        <v>10799.52</v>
      </c>
      <c r="I123" s="238">
        <v>55943.82</v>
      </c>
    </row>
    <row r="124" spans="1:9">
      <c r="A124" s="1" t="s">
        <v>376</v>
      </c>
      <c r="B124" s="238"/>
      <c r="C124" s="238"/>
      <c r="D124" s="238"/>
      <c r="E124" s="238"/>
      <c r="F124" s="238"/>
      <c r="G124" s="238"/>
      <c r="H124" s="238"/>
      <c r="I124" s="238"/>
    </row>
    <row r="125" spans="1:9">
      <c r="A125" s="1" t="s">
        <v>377</v>
      </c>
      <c r="B125" s="238">
        <v>0</v>
      </c>
      <c r="C125" s="238">
        <v>0</v>
      </c>
      <c r="D125" s="238">
        <v>0</v>
      </c>
      <c r="E125" s="238">
        <v>229855</v>
      </c>
      <c r="F125" s="238">
        <v>0</v>
      </c>
      <c r="G125" s="238">
        <v>0</v>
      </c>
      <c r="H125" s="238">
        <v>0</v>
      </c>
      <c r="I125" s="238">
        <v>229855</v>
      </c>
    </row>
    <row r="126" spans="1:9">
      <c r="A126" s="1" t="s">
        <v>378</v>
      </c>
      <c r="B126" s="238">
        <v>0</v>
      </c>
      <c r="C126" s="238">
        <v>0</v>
      </c>
      <c r="D126" s="238">
        <v>49507.78</v>
      </c>
      <c r="E126" s="238">
        <v>194526.63</v>
      </c>
      <c r="F126" s="238">
        <v>47545.13</v>
      </c>
      <c r="G126" s="238">
        <v>31967.69</v>
      </c>
      <c r="H126" s="238">
        <v>75981.350000000006</v>
      </c>
      <c r="I126" s="238">
        <v>399528.58</v>
      </c>
    </row>
    <row r="127" spans="1:9">
      <c r="A127" s="1" t="s">
        <v>379</v>
      </c>
      <c r="B127" s="238">
        <v>0</v>
      </c>
      <c r="C127" s="238">
        <v>0</v>
      </c>
      <c r="D127" s="238">
        <v>0</v>
      </c>
      <c r="E127" s="238">
        <v>-216938.05</v>
      </c>
      <c r="F127" s="238">
        <v>0</v>
      </c>
      <c r="G127" s="238">
        <v>0</v>
      </c>
      <c r="H127" s="238">
        <v>0</v>
      </c>
      <c r="I127" s="238">
        <v>-216938.05</v>
      </c>
    </row>
    <row r="128" spans="1:9">
      <c r="A128" s="1" t="s">
        <v>380</v>
      </c>
      <c r="B128" s="238">
        <v>0</v>
      </c>
      <c r="C128" s="238">
        <v>0</v>
      </c>
      <c r="D128" s="238">
        <v>49507.78</v>
      </c>
      <c r="E128" s="238">
        <v>207443.58</v>
      </c>
      <c r="F128" s="238">
        <v>47545.13</v>
      </c>
      <c r="G128" s="238">
        <v>31967.69</v>
      </c>
      <c r="H128" s="238">
        <v>75981.350000000006</v>
      </c>
      <c r="I128" s="238">
        <v>412445.53</v>
      </c>
    </row>
    <row r="129" spans="1:9">
      <c r="A129" s="1" t="s">
        <v>381</v>
      </c>
      <c r="B129" s="238">
        <v>0</v>
      </c>
      <c r="C129" s="238">
        <v>0</v>
      </c>
      <c r="D129" s="238">
        <v>0</v>
      </c>
      <c r="E129" s="238">
        <v>-276</v>
      </c>
      <c r="F129" s="238">
        <v>0</v>
      </c>
      <c r="G129" s="238">
        <v>0</v>
      </c>
      <c r="H129" s="238">
        <v>0</v>
      </c>
      <c r="I129" s="238">
        <v>-276</v>
      </c>
    </row>
    <row r="130" spans="1:9">
      <c r="A130" s="1" t="s">
        <v>382</v>
      </c>
      <c r="B130" s="238">
        <v>70725.490000000005</v>
      </c>
      <c r="C130" s="238">
        <v>83217.59</v>
      </c>
      <c r="D130" s="238">
        <v>191634.37</v>
      </c>
      <c r="E130" s="238">
        <v>318664.98</v>
      </c>
      <c r="F130" s="238">
        <v>133895.64000000001</v>
      </c>
      <c r="G130" s="238">
        <v>132865.12</v>
      </c>
      <c r="H130" s="238">
        <v>234422.07</v>
      </c>
      <c r="I130" s="238">
        <v>1165425.26</v>
      </c>
    </row>
    <row r="131" spans="1:9">
      <c r="A131" s="1" t="s">
        <v>383</v>
      </c>
      <c r="B131" s="238">
        <v>119901.96</v>
      </c>
      <c r="C131" s="238">
        <v>168500.48000000001</v>
      </c>
      <c r="D131" s="238">
        <v>445167.23</v>
      </c>
      <c r="E131" s="238">
        <v>359781.24</v>
      </c>
      <c r="F131" s="238">
        <v>159666.93</v>
      </c>
      <c r="G131" s="238">
        <v>262413.57</v>
      </c>
      <c r="H131" s="238">
        <v>536946.78</v>
      </c>
      <c r="I131" s="238">
        <v>2052378.19</v>
      </c>
    </row>
    <row r="132" spans="1:9">
      <c r="A132" s="1" t="s">
        <v>384</v>
      </c>
      <c r="B132" s="238">
        <v>-21452.35</v>
      </c>
      <c r="C132" s="238">
        <v>25717.439999999999</v>
      </c>
      <c r="D132" s="238">
        <v>-57452.09</v>
      </c>
      <c r="E132" s="238">
        <v>-200840.37</v>
      </c>
      <c r="F132" s="238">
        <v>-78427.72</v>
      </c>
      <c r="G132" s="238">
        <v>-15120.55</v>
      </c>
      <c r="H132" s="238">
        <v>21216.43</v>
      </c>
      <c r="I132" s="238">
        <v>-326359.21000000002</v>
      </c>
    </row>
    <row r="133" spans="1:9">
      <c r="A133" s="1" t="s">
        <v>385</v>
      </c>
      <c r="B133" s="238"/>
      <c r="C133" s="238"/>
      <c r="D133" s="238"/>
      <c r="E133" s="238"/>
      <c r="F133" s="238"/>
      <c r="G133" s="238"/>
      <c r="H133" s="238"/>
      <c r="I133" s="238"/>
    </row>
    <row r="134" spans="1:9">
      <c r="A134" s="1" t="s">
        <v>386</v>
      </c>
      <c r="B134" s="238"/>
      <c r="C134" s="238"/>
      <c r="D134" s="238"/>
      <c r="E134" s="238"/>
      <c r="F134" s="238"/>
      <c r="G134" s="238"/>
      <c r="H134" s="238"/>
      <c r="I134" s="238"/>
    </row>
    <row r="135" spans="1:9">
      <c r="A135" s="1" t="s">
        <v>387</v>
      </c>
      <c r="B135" s="238">
        <v>0</v>
      </c>
      <c r="C135" s="238">
        <v>0</v>
      </c>
      <c r="D135" s="238">
        <v>0</v>
      </c>
      <c r="E135" s="238">
        <v>-178</v>
      </c>
      <c r="F135" s="238">
        <v>0</v>
      </c>
      <c r="G135" s="238">
        <v>0</v>
      </c>
      <c r="H135" s="238">
        <v>0</v>
      </c>
      <c r="I135" s="238">
        <v>-178</v>
      </c>
    </row>
    <row r="136" spans="1:9">
      <c r="A136" s="1" t="s">
        <v>388</v>
      </c>
      <c r="B136" s="238">
        <v>0</v>
      </c>
      <c r="C136" s="238">
        <v>0</v>
      </c>
      <c r="D136" s="238">
        <v>0</v>
      </c>
      <c r="E136" s="238">
        <v>-178</v>
      </c>
      <c r="F136" s="238">
        <v>0</v>
      </c>
      <c r="G136" s="238">
        <v>0</v>
      </c>
      <c r="H136" s="238">
        <v>0</v>
      </c>
      <c r="I136" s="238">
        <v>-178</v>
      </c>
    </row>
    <row r="137" spans="1:9">
      <c r="A137" s="1" t="s">
        <v>389</v>
      </c>
      <c r="B137" s="238">
        <v>0</v>
      </c>
      <c r="C137" s="238">
        <v>0</v>
      </c>
      <c r="D137" s="238">
        <v>0</v>
      </c>
      <c r="E137" s="238">
        <v>-178</v>
      </c>
      <c r="F137" s="238">
        <v>0</v>
      </c>
      <c r="G137" s="238">
        <v>0</v>
      </c>
      <c r="H137" s="238">
        <v>0</v>
      </c>
      <c r="I137" s="238">
        <v>-178</v>
      </c>
    </row>
    <row r="138" spans="1:9">
      <c r="A138" s="1" t="s">
        <v>390</v>
      </c>
      <c r="B138" s="238">
        <v>-21452.35</v>
      </c>
      <c r="C138" s="238">
        <v>25717.439999999999</v>
      </c>
      <c r="D138" s="238">
        <v>-57452.09</v>
      </c>
      <c r="E138" s="238">
        <v>-201018.37</v>
      </c>
      <c r="F138" s="238">
        <v>-78427.72</v>
      </c>
      <c r="G138" s="238">
        <v>-15120.55</v>
      </c>
      <c r="H138" s="238">
        <v>21216.43</v>
      </c>
      <c r="I138" s="238">
        <v>-326537.21000000002</v>
      </c>
    </row>
  </sheetData>
  <pageMargins left="0.2" right="0.2" top="0.25" bottom="0.25" header="0.3" footer="0.3"/>
  <pageSetup scale="73" fitToHeight="5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CC420-52AA-5846-A86E-E08049873C9C}">
  <dimension ref="A1:AD155"/>
  <sheetViews>
    <sheetView zoomScale="125" zoomScaleNormal="125" workbookViewId="0">
      <selection activeCell="M17" sqref="M17"/>
    </sheetView>
  </sheetViews>
  <sheetFormatPr baseColWidth="10" defaultRowHeight="15"/>
  <cols>
    <col min="1" max="1" width="28.6640625" style="1" bestFit="1" customWidth="1"/>
    <col min="2" max="2" width="22.5" style="1" bestFit="1" customWidth="1"/>
    <col min="3" max="4" width="10.83203125" style="20" bestFit="1" customWidth="1"/>
    <col min="5" max="5" width="11" style="1" bestFit="1" customWidth="1"/>
    <col min="6" max="6" width="16" style="1" bestFit="1" customWidth="1"/>
    <col min="7" max="7" width="11.6640625" style="1" bestFit="1" customWidth="1"/>
    <col min="8" max="8" width="10.83203125" style="1"/>
    <col min="9" max="9" width="13.1640625" style="1" bestFit="1" customWidth="1"/>
    <col min="10" max="16384" width="10.83203125" style="1"/>
  </cols>
  <sheetData>
    <row r="1" spans="1:16">
      <c r="A1" s="196">
        <v>2018</v>
      </c>
      <c r="B1" s="235" t="s">
        <v>126</v>
      </c>
      <c r="C1" s="102">
        <v>2018</v>
      </c>
      <c r="D1" s="102">
        <v>2017</v>
      </c>
      <c r="G1" s="48"/>
      <c r="I1" s="106"/>
      <c r="K1" s="251"/>
      <c r="N1" s="251"/>
      <c r="P1" s="251"/>
    </row>
    <row r="2" spans="1:16">
      <c r="A2" s="198" t="s">
        <v>65</v>
      </c>
      <c r="B2" s="198" t="s">
        <v>65</v>
      </c>
      <c r="C2" s="199" t="s">
        <v>19</v>
      </c>
      <c r="D2" s="199" t="s">
        <v>19</v>
      </c>
      <c r="I2" s="106"/>
      <c r="K2" s="251"/>
      <c r="N2" s="251"/>
      <c r="P2" s="251"/>
    </row>
    <row r="3" spans="1:16">
      <c r="A3" s="198" t="s">
        <v>0</v>
      </c>
      <c r="B3" s="198" t="s">
        <v>0</v>
      </c>
      <c r="E3" s="236"/>
      <c r="I3" s="106"/>
      <c r="K3" s="251"/>
      <c r="N3" s="251"/>
      <c r="P3" s="251"/>
    </row>
    <row r="4" spans="1:16">
      <c r="A4" s="106" t="s">
        <v>1</v>
      </c>
      <c r="B4" s="1" t="s">
        <v>1</v>
      </c>
      <c r="C4" s="20">
        <v>268000</v>
      </c>
      <c r="D4" s="20">
        <v>210000</v>
      </c>
      <c r="G4" s="3"/>
      <c r="I4" s="106"/>
    </row>
    <row r="5" spans="1:16">
      <c r="A5" s="106" t="s">
        <v>2</v>
      </c>
      <c r="B5" s="1" t="s">
        <v>67</v>
      </c>
      <c r="C5" s="20">
        <v>40000</v>
      </c>
      <c r="D5" s="20">
        <v>24000</v>
      </c>
      <c r="I5" s="106"/>
    </row>
    <row r="6" spans="1:16">
      <c r="A6" s="106"/>
      <c r="B6" s="1" t="s">
        <v>68</v>
      </c>
      <c r="D6" s="20">
        <v>2500</v>
      </c>
      <c r="I6" s="106"/>
    </row>
    <row r="7" spans="1:16">
      <c r="A7" s="106" t="s">
        <v>3</v>
      </c>
      <c r="B7" s="1" t="s">
        <v>69</v>
      </c>
      <c r="C7" s="20">
        <v>30000</v>
      </c>
      <c r="D7" s="20">
        <v>10000</v>
      </c>
      <c r="G7" s="237"/>
      <c r="I7" s="106"/>
    </row>
    <row r="8" spans="1:16">
      <c r="A8" s="106"/>
      <c r="B8" s="1" t="s">
        <v>70</v>
      </c>
      <c r="D8" s="20">
        <v>500</v>
      </c>
      <c r="G8" s="237"/>
      <c r="I8" s="106"/>
    </row>
    <row r="9" spans="1:16">
      <c r="A9" s="106" t="s">
        <v>4</v>
      </c>
      <c r="B9" s="1" t="s">
        <v>72</v>
      </c>
      <c r="C9" s="20">
        <v>10000</v>
      </c>
      <c r="D9" s="20">
        <v>12000</v>
      </c>
      <c r="I9" s="106"/>
    </row>
    <row r="10" spans="1:16">
      <c r="A10" s="106" t="s">
        <v>5</v>
      </c>
      <c r="B10" s="1" t="s">
        <v>71</v>
      </c>
      <c r="C10" s="20">
        <v>50000</v>
      </c>
      <c r="D10" s="20">
        <v>29650</v>
      </c>
    </row>
    <row r="11" spans="1:16">
      <c r="A11" s="200" t="s">
        <v>20</v>
      </c>
      <c r="C11" s="103">
        <f>SUM(C4:C10)</f>
        <v>398000</v>
      </c>
      <c r="D11" s="103">
        <f>SUM(D4:D10)</f>
        <v>288650</v>
      </c>
    </row>
    <row r="13" spans="1:16">
      <c r="A13" s="198" t="s">
        <v>7</v>
      </c>
      <c r="B13" s="198" t="s">
        <v>7</v>
      </c>
    </row>
    <row r="14" spans="1:16">
      <c r="A14" s="106" t="s">
        <v>8</v>
      </c>
      <c r="B14" s="1" t="s">
        <v>75</v>
      </c>
      <c r="C14" s="20">
        <v>100000</v>
      </c>
      <c r="D14" s="20">
        <v>75000</v>
      </c>
    </row>
    <row r="15" spans="1:16">
      <c r="A15" s="106" t="s">
        <v>9</v>
      </c>
      <c r="B15" s="1" t="s">
        <v>74</v>
      </c>
      <c r="C15" s="20">
        <v>100000</v>
      </c>
      <c r="D15" s="20">
        <v>50000</v>
      </c>
    </row>
    <row r="16" spans="1:16">
      <c r="A16" s="106" t="s">
        <v>10</v>
      </c>
      <c r="B16" s="1" t="s">
        <v>10</v>
      </c>
      <c r="C16" s="20">
        <v>120000</v>
      </c>
      <c r="D16" s="20">
        <v>85000</v>
      </c>
    </row>
    <row r="17" spans="1:9">
      <c r="A17" s="106" t="s">
        <v>11</v>
      </c>
      <c r="B17" s="1" t="s">
        <v>11</v>
      </c>
      <c r="C17" s="20">
        <v>70000</v>
      </c>
      <c r="D17" s="20">
        <v>50000</v>
      </c>
    </row>
    <row r="18" spans="1:9">
      <c r="A18" s="106" t="s">
        <v>12</v>
      </c>
      <c r="B18" s="1" t="s">
        <v>73</v>
      </c>
      <c r="C18" s="20">
        <v>75000</v>
      </c>
      <c r="D18" s="20">
        <v>75000</v>
      </c>
      <c r="I18" s="106"/>
    </row>
    <row r="19" spans="1:9">
      <c r="A19" s="106" t="s">
        <v>13</v>
      </c>
      <c r="B19" s="1" t="s">
        <v>77</v>
      </c>
      <c r="C19" s="20">
        <v>174701.36924999999</v>
      </c>
      <c r="D19" s="20">
        <v>75000</v>
      </c>
      <c r="I19" s="106"/>
    </row>
    <row r="20" spans="1:9">
      <c r="A20" s="106" t="s">
        <v>14</v>
      </c>
      <c r="B20" s="1" t="s">
        <v>78</v>
      </c>
      <c r="C20" s="20">
        <v>45000</v>
      </c>
      <c r="D20" s="20">
        <v>30000</v>
      </c>
      <c r="I20" s="106"/>
    </row>
    <row r="21" spans="1:9">
      <c r="A21" s="106" t="s">
        <v>15</v>
      </c>
      <c r="B21" s="1" t="s">
        <v>15</v>
      </c>
      <c r="C21" s="20">
        <v>55000</v>
      </c>
      <c r="D21" s="20">
        <v>25000</v>
      </c>
      <c r="G21" s="237"/>
      <c r="I21" s="106"/>
    </row>
    <row r="22" spans="1:9">
      <c r="A22" s="106"/>
      <c r="B22" s="1" t="s">
        <v>76</v>
      </c>
      <c r="D22" s="20">
        <v>10000</v>
      </c>
      <c r="G22" s="237"/>
      <c r="I22" s="106"/>
    </row>
    <row r="23" spans="1:9">
      <c r="A23" s="106"/>
      <c r="B23" s="1" t="s">
        <v>79</v>
      </c>
      <c r="D23" s="20">
        <v>300000</v>
      </c>
      <c r="G23" s="237"/>
      <c r="I23" s="106"/>
    </row>
    <row r="24" spans="1:9">
      <c r="A24" s="106" t="s">
        <v>16</v>
      </c>
      <c r="C24" s="20">
        <v>50000</v>
      </c>
      <c r="I24" s="106"/>
    </row>
    <row r="25" spans="1:9">
      <c r="A25" s="106" t="s">
        <v>17</v>
      </c>
      <c r="C25" s="20">
        <v>57500</v>
      </c>
    </row>
    <row r="26" spans="1:9">
      <c r="A26" s="200" t="s">
        <v>20</v>
      </c>
      <c r="C26" s="103">
        <f>SUM(C14:C25)</f>
        <v>847201.36924999999</v>
      </c>
      <c r="D26" s="103">
        <f>SUM(D14:D25)</f>
        <v>775000</v>
      </c>
    </row>
    <row r="27" spans="1:9">
      <c r="A27" s="201" t="s">
        <v>18</v>
      </c>
      <c r="B27" s="106"/>
      <c r="C27" s="104">
        <f>C11+C26</f>
        <v>1245201.36925</v>
      </c>
      <c r="D27" s="104">
        <f>D11+D26</f>
        <v>1063650</v>
      </c>
    </row>
    <row r="28" spans="1:9">
      <c r="A28" s="106"/>
    </row>
    <row r="29" spans="1:9">
      <c r="A29" s="202" t="s">
        <v>21</v>
      </c>
      <c r="B29" s="202" t="s">
        <v>21</v>
      </c>
    </row>
    <row r="30" spans="1:9">
      <c r="A30" s="202" t="s">
        <v>22</v>
      </c>
      <c r="B30" s="202" t="s">
        <v>22</v>
      </c>
    </row>
    <row r="31" spans="1:9">
      <c r="A31" s="202" t="s">
        <v>23</v>
      </c>
      <c r="B31" s="202" t="s">
        <v>23</v>
      </c>
    </row>
    <row r="32" spans="1:9">
      <c r="A32" s="195" t="s">
        <v>62</v>
      </c>
      <c r="B32" s="195" t="s">
        <v>62</v>
      </c>
      <c r="C32" s="20">
        <f>Payroll!H15</f>
        <v>235000</v>
      </c>
      <c r="D32" s="20">
        <f>Payroll!N15</f>
        <v>94000</v>
      </c>
    </row>
    <row r="33" spans="1:9">
      <c r="A33" s="195" t="s">
        <v>63</v>
      </c>
      <c r="B33" s="195" t="s">
        <v>63</v>
      </c>
      <c r="C33" s="20">
        <f>Payroll!I15</f>
        <v>30550</v>
      </c>
      <c r="D33" s="20">
        <f>Payroll!O15</f>
        <v>18800</v>
      </c>
    </row>
    <row r="34" spans="1:9">
      <c r="A34" s="195" t="s">
        <v>64</v>
      </c>
      <c r="B34" s="195" t="s">
        <v>64</v>
      </c>
      <c r="C34" s="20">
        <f>Payroll!J15</f>
        <v>16800</v>
      </c>
      <c r="D34" s="20">
        <f>Payroll!P15</f>
        <v>0</v>
      </c>
      <c r="E34" s="106"/>
      <c r="F34" s="106"/>
    </row>
    <row r="35" spans="1:9">
      <c r="A35" s="196" t="s">
        <v>20</v>
      </c>
      <c r="B35" s="196" t="s">
        <v>20</v>
      </c>
      <c r="C35" s="103">
        <f>SUM(C32:C34)</f>
        <v>282350</v>
      </c>
      <c r="D35" s="103">
        <f>SUM(D32:D34)</f>
        <v>112800</v>
      </c>
      <c r="E35" s="106"/>
      <c r="F35" s="106"/>
      <c r="I35" s="106"/>
    </row>
    <row r="36" spans="1:9">
      <c r="A36" s="195" t="s">
        <v>24</v>
      </c>
      <c r="B36" s="238"/>
      <c r="C36" s="20">
        <v>42186.5</v>
      </c>
      <c r="G36" s="237"/>
      <c r="I36" s="106"/>
    </row>
    <row r="37" spans="1:9">
      <c r="A37" s="196" t="s">
        <v>6</v>
      </c>
      <c r="B37" s="196" t="s">
        <v>6</v>
      </c>
      <c r="C37" s="103">
        <f>C35+C36</f>
        <v>324536.5</v>
      </c>
      <c r="I37" s="106"/>
    </row>
    <row r="38" spans="1:9">
      <c r="A38" s="195"/>
      <c r="B38" s="238"/>
      <c r="I38" s="106"/>
    </row>
    <row r="39" spans="1:9">
      <c r="A39" s="202" t="s">
        <v>123</v>
      </c>
      <c r="B39" s="238"/>
      <c r="I39" s="106"/>
    </row>
    <row r="40" spans="1:9">
      <c r="A40" s="195" t="s">
        <v>25</v>
      </c>
      <c r="B40" s="238"/>
      <c r="C40" s="20">
        <v>21800</v>
      </c>
      <c r="I40" s="106"/>
    </row>
    <row r="41" spans="1:9">
      <c r="A41" s="195" t="s">
        <v>26</v>
      </c>
      <c r="B41" s="238"/>
      <c r="C41" s="20">
        <v>28000</v>
      </c>
      <c r="I41" s="106"/>
    </row>
    <row r="42" spans="1:9">
      <c r="A42" s="195" t="s">
        <v>27</v>
      </c>
      <c r="B42" s="238"/>
      <c r="C42" s="20">
        <v>10000</v>
      </c>
    </row>
    <row r="43" spans="1:9">
      <c r="A43" s="195" t="s">
        <v>28</v>
      </c>
      <c r="B43" s="238"/>
      <c r="C43" s="20">
        <v>25000</v>
      </c>
    </row>
    <row r="44" spans="1:9">
      <c r="A44" s="195" t="s">
        <v>29</v>
      </c>
      <c r="B44" s="238"/>
      <c r="C44" s="20">
        <v>15000</v>
      </c>
    </row>
    <row r="45" spans="1:9">
      <c r="A45" s="195" t="s">
        <v>30</v>
      </c>
      <c r="B45" s="238"/>
      <c r="C45" s="20">
        <v>35000</v>
      </c>
    </row>
    <row r="46" spans="1:9">
      <c r="A46" s="195" t="s">
        <v>31</v>
      </c>
      <c r="B46" s="238"/>
      <c r="C46" s="20">
        <v>30000</v>
      </c>
    </row>
    <row r="47" spans="1:9">
      <c r="A47" s="195" t="s">
        <v>32</v>
      </c>
      <c r="B47" s="238"/>
      <c r="C47" s="20">
        <v>10000</v>
      </c>
    </row>
    <row r="48" spans="1:9">
      <c r="A48" s="195" t="s">
        <v>33</v>
      </c>
      <c r="B48" s="238"/>
      <c r="C48" s="20">
        <v>3500</v>
      </c>
    </row>
    <row r="49" spans="1:3">
      <c r="A49" s="195" t="s">
        <v>34</v>
      </c>
      <c r="B49" s="238"/>
      <c r="C49" s="20">
        <v>12000</v>
      </c>
    </row>
    <row r="50" spans="1:3">
      <c r="A50" s="195" t="s">
        <v>35</v>
      </c>
      <c r="B50" s="238"/>
      <c r="C50" s="20">
        <v>1200</v>
      </c>
    </row>
    <row r="51" spans="1:3">
      <c r="A51" s="195" t="s">
        <v>36</v>
      </c>
      <c r="B51" s="238"/>
      <c r="C51" s="20">
        <v>5000</v>
      </c>
    </row>
    <row r="52" spans="1:3">
      <c r="A52" s="196" t="s">
        <v>37</v>
      </c>
      <c r="B52" s="238"/>
      <c r="C52" s="103">
        <f>SUM(C40:C51)</f>
        <v>196500</v>
      </c>
    </row>
    <row r="53" spans="1:3">
      <c r="A53" s="195" t="s">
        <v>38</v>
      </c>
      <c r="B53" s="238"/>
      <c r="C53" s="20">
        <f>SUM(C52*0.1)</f>
        <v>19650</v>
      </c>
    </row>
    <row r="54" spans="1:3">
      <c r="A54" s="196" t="s">
        <v>6</v>
      </c>
      <c r="B54" s="238"/>
      <c r="C54" s="103">
        <f>SUM(C52:C53)</f>
        <v>216150</v>
      </c>
    </row>
    <row r="55" spans="1:3">
      <c r="B55" s="238"/>
    </row>
    <row r="56" spans="1:3">
      <c r="A56" s="202" t="s">
        <v>80</v>
      </c>
    </row>
    <row r="57" spans="1:3">
      <c r="A57" s="195" t="s">
        <v>39</v>
      </c>
      <c r="B57" s="238"/>
      <c r="C57" s="20">
        <v>21770</v>
      </c>
    </row>
    <row r="58" spans="1:3">
      <c r="A58" s="195" t="s">
        <v>40</v>
      </c>
      <c r="B58" s="238"/>
      <c r="C58" s="20">
        <v>106042.75</v>
      </c>
    </row>
    <row r="59" spans="1:3">
      <c r="A59" s="195" t="s">
        <v>41</v>
      </c>
      <c r="B59" s="238"/>
      <c r="C59" s="20">
        <v>106552.6</v>
      </c>
    </row>
    <row r="60" spans="1:3">
      <c r="A60" s="195" t="s">
        <v>42</v>
      </c>
      <c r="B60" s="238"/>
      <c r="C60" s="20">
        <v>56564.2</v>
      </c>
    </row>
    <row r="61" spans="1:3">
      <c r="A61" s="195" t="s">
        <v>43</v>
      </c>
      <c r="B61" s="238"/>
      <c r="C61" s="20">
        <v>25333</v>
      </c>
    </row>
    <row r="62" spans="1:3">
      <c r="A62" s="195" t="s">
        <v>44</v>
      </c>
      <c r="B62" s="238"/>
      <c r="C62" s="20">
        <v>19279.865000000002</v>
      </c>
    </row>
    <row r="63" spans="1:3">
      <c r="A63" s="195" t="s">
        <v>45</v>
      </c>
      <c r="B63" s="238"/>
      <c r="C63" s="20">
        <v>52682.85</v>
      </c>
    </row>
    <row r="64" spans="1:3">
      <c r="A64" s="196" t="s">
        <v>81</v>
      </c>
      <c r="B64" s="238"/>
      <c r="C64" s="103">
        <f>SUM(C57:C63)</f>
        <v>388225.26499999996</v>
      </c>
    </row>
    <row r="65" spans="1:5">
      <c r="A65" s="195"/>
      <c r="B65" s="238"/>
    </row>
    <row r="66" spans="1:5">
      <c r="A66" s="195" t="s">
        <v>46</v>
      </c>
      <c r="C66" s="20">
        <v>87000</v>
      </c>
    </row>
    <row r="67" spans="1:5">
      <c r="A67" s="195" t="s">
        <v>47</v>
      </c>
      <c r="B67" s="238"/>
      <c r="C67" s="20">
        <v>25000</v>
      </c>
    </row>
    <row r="68" spans="1:5">
      <c r="A68" s="195" t="s">
        <v>11</v>
      </c>
      <c r="B68" s="238"/>
      <c r="C68" s="20">
        <v>15000</v>
      </c>
    </row>
    <row r="69" spans="1:5">
      <c r="A69" s="196" t="s">
        <v>124</v>
      </c>
      <c r="B69" s="238"/>
      <c r="C69" s="103">
        <f>SUM(C64:C68)</f>
        <v>515225.26499999996</v>
      </c>
    </row>
    <row r="70" spans="1:5">
      <c r="B70" s="238"/>
    </row>
    <row r="71" spans="1:5">
      <c r="A71" s="202" t="s">
        <v>82</v>
      </c>
      <c r="B71" s="239"/>
      <c r="C71" s="20">
        <v>199692.24</v>
      </c>
    </row>
    <row r="72" spans="1:5">
      <c r="A72" s="195"/>
      <c r="B72" s="239"/>
    </row>
    <row r="73" spans="1:5">
      <c r="A73" s="196" t="s">
        <v>48</v>
      </c>
      <c r="B73" s="239"/>
      <c r="C73" s="20">
        <f>C37+C54+C69+C71</f>
        <v>1255604.0049999999</v>
      </c>
    </row>
    <row r="74" spans="1:5">
      <c r="A74" s="195"/>
      <c r="B74" s="239"/>
      <c r="E74" s="128"/>
    </row>
    <row r="75" spans="1:5">
      <c r="A75" s="196" t="s">
        <v>49</v>
      </c>
      <c r="B75" s="239"/>
      <c r="C75" s="20">
        <f>C27-C73</f>
        <v>-10402.635749999899</v>
      </c>
    </row>
    <row r="76" spans="1:5">
      <c r="B76" s="239"/>
      <c r="C76" s="134"/>
    </row>
    <row r="77" spans="1:5">
      <c r="B77" s="239"/>
      <c r="C77" s="134"/>
    </row>
    <row r="78" spans="1:5">
      <c r="B78" s="239"/>
    </row>
    <row r="79" spans="1:5">
      <c r="B79" s="239"/>
    </row>
    <row r="155" spans="30:30">
      <c r="AD155" s="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09B76-04C6-AA45-B356-00D92D6E9777}">
  <dimension ref="A1:AD155"/>
  <sheetViews>
    <sheetView topLeftCell="A9" zoomScale="125" zoomScaleNormal="125" workbookViewId="0">
      <selection activeCell="M17" sqref="M17"/>
    </sheetView>
  </sheetViews>
  <sheetFormatPr baseColWidth="10" defaultRowHeight="15"/>
  <cols>
    <col min="1" max="1" width="18.6640625" style="1" bestFit="1" customWidth="1"/>
    <col min="2" max="2" width="9" style="1" bestFit="1" customWidth="1"/>
    <col min="3" max="3" width="18.6640625" style="1" bestFit="1" customWidth="1"/>
    <col min="4" max="4" width="10.1640625" style="1" bestFit="1" customWidth="1"/>
    <col min="5" max="5" width="18.6640625" style="1" bestFit="1" customWidth="1"/>
    <col min="6" max="6" width="9" style="1" bestFit="1" customWidth="1"/>
    <col min="7" max="7" width="18.6640625" style="1" bestFit="1" customWidth="1"/>
    <col min="8" max="8" width="10.1640625" style="20" bestFit="1" customWidth="1"/>
    <col min="9" max="9" width="18.33203125" style="1" bestFit="1" customWidth="1"/>
    <col min="10" max="10" width="11.6640625" style="1" bestFit="1" customWidth="1"/>
    <col min="11" max="11" width="11.5" style="20" bestFit="1" customWidth="1"/>
    <col min="12" max="12" width="11.83203125" style="20" bestFit="1" customWidth="1"/>
    <col min="13" max="16384" width="10.83203125" style="1"/>
  </cols>
  <sheetData>
    <row r="1" spans="1:16">
      <c r="A1" s="3" t="s">
        <v>185</v>
      </c>
      <c r="C1" s="48"/>
      <c r="G1" s="106"/>
      <c r="K1" s="250"/>
      <c r="N1" s="251"/>
      <c r="P1" s="251"/>
    </row>
    <row r="2" spans="1:16">
      <c r="A2" s="48"/>
      <c r="B2" s="204"/>
      <c r="C2" s="48"/>
      <c r="D2" s="34"/>
      <c r="E2" s="34"/>
      <c r="F2" s="34"/>
      <c r="G2" s="34"/>
      <c r="H2" s="205"/>
      <c r="K2" s="250"/>
      <c r="N2" s="251"/>
      <c r="P2" s="251"/>
    </row>
    <row r="3" spans="1:16">
      <c r="A3" s="48" t="s">
        <v>183</v>
      </c>
      <c r="B3" s="39" t="s">
        <v>156</v>
      </c>
      <c r="C3" s="3" t="s">
        <v>184</v>
      </c>
      <c r="D3" s="39" t="s">
        <v>156</v>
      </c>
      <c r="E3" s="206" t="s">
        <v>186</v>
      </c>
      <c r="F3" s="39" t="s">
        <v>156</v>
      </c>
      <c r="G3" s="3" t="s">
        <v>189</v>
      </c>
      <c r="H3" s="39" t="s">
        <v>156</v>
      </c>
      <c r="I3" s="3" t="s">
        <v>190</v>
      </c>
      <c r="J3" s="39" t="s">
        <v>156</v>
      </c>
      <c r="K3" s="250"/>
      <c r="N3" s="251"/>
      <c r="P3" s="251"/>
    </row>
    <row r="4" spans="1:16">
      <c r="A4" s="1" t="s">
        <v>102</v>
      </c>
      <c r="B4" s="204">
        <v>0</v>
      </c>
      <c r="C4" s="1" t="s">
        <v>102</v>
      </c>
      <c r="D4" s="204">
        <v>1</v>
      </c>
      <c r="E4" s="1" t="s">
        <v>102</v>
      </c>
      <c r="F4" s="204">
        <v>1</v>
      </c>
      <c r="G4" s="207" t="s">
        <v>102</v>
      </c>
      <c r="H4" s="204">
        <v>1</v>
      </c>
      <c r="I4" s="1" t="s">
        <v>102</v>
      </c>
      <c r="J4" s="204">
        <v>0</v>
      </c>
    </row>
    <row r="5" spans="1:16">
      <c r="A5" s="1" t="s">
        <v>109</v>
      </c>
      <c r="B5" s="204">
        <v>2</v>
      </c>
      <c r="C5" s="1" t="s">
        <v>109</v>
      </c>
      <c r="D5" s="204">
        <v>5</v>
      </c>
      <c r="E5" s="1" t="s">
        <v>109</v>
      </c>
      <c r="F5" s="204">
        <v>2</v>
      </c>
      <c r="G5" s="207" t="s">
        <v>109</v>
      </c>
      <c r="H5" s="204">
        <v>4</v>
      </c>
      <c r="I5" s="1" t="s">
        <v>109</v>
      </c>
      <c r="J5" s="204">
        <v>5</v>
      </c>
    </row>
    <row r="6" spans="1:16">
      <c r="A6" s="1" t="s">
        <v>110</v>
      </c>
      <c r="B6" s="204">
        <v>1</v>
      </c>
      <c r="C6" s="1" t="s">
        <v>110</v>
      </c>
      <c r="D6" s="204">
        <v>1</v>
      </c>
      <c r="E6" s="1" t="s">
        <v>110</v>
      </c>
      <c r="F6" s="204">
        <v>1</v>
      </c>
      <c r="G6" s="207" t="s">
        <v>110</v>
      </c>
      <c r="H6" s="204">
        <v>1</v>
      </c>
      <c r="I6" s="1" t="s">
        <v>110</v>
      </c>
      <c r="J6" s="204">
        <v>1</v>
      </c>
    </row>
    <row r="7" spans="1:16">
      <c r="A7" s="1" t="s">
        <v>111</v>
      </c>
      <c r="B7" s="204">
        <v>1</v>
      </c>
      <c r="C7" s="1" t="s">
        <v>113</v>
      </c>
      <c r="D7" s="204">
        <v>1</v>
      </c>
      <c r="E7" s="20"/>
      <c r="F7" s="204"/>
      <c r="G7" s="20"/>
      <c r="H7" s="204"/>
      <c r="J7" s="204"/>
    </row>
    <row r="8" spans="1:16">
      <c r="A8" s="1" t="s">
        <v>112</v>
      </c>
      <c r="B8" s="204">
        <v>1</v>
      </c>
      <c r="D8" s="204"/>
      <c r="E8" s="20"/>
      <c r="F8" s="204"/>
      <c r="G8" s="20"/>
      <c r="H8" s="204"/>
      <c r="J8" s="204"/>
    </row>
    <row r="9" spans="1:16">
      <c r="A9" s="3" t="s">
        <v>53</v>
      </c>
      <c r="B9" s="204">
        <f>SUM(B4:B8)</f>
        <v>5</v>
      </c>
      <c r="C9" s="3" t="s">
        <v>53</v>
      </c>
      <c r="D9" s="204">
        <f>SUM(D4:D8)</f>
        <v>8</v>
      </c>
      <c r="E9" s="3" t="s">
        <v>53</v>
      </c>
      <c r="F9" s="204">
        <f>SUM(F4:F8)</f>
        <v>4</v>
      </c>
      <c r="G9" s="3" t="s">
        <v>53</v>
      </c>
      <c r="H9" s="204">
        <f>SUM(H4:H8)</f>
        <v>6</v>
      </c>
      <c r="I9" s="3" t="s">
        <v>53</v>
      </c>
      <c r="J9" s="204">
        <f>SUM(J4:J8)</f>
        <v>6</v>
      </c>
    </row>
    <row r="10" spans="1:16">
      <c r="A10" s="3"/>
      <c r="B10" s="204"/>
      <c r="C10" s="3"/>
      <c r="D10" s="204"/>
      <c r="E10" s="3"/>
      <c r="F10" s="204"/>
      <c r="G10" s="3"/>
      <c r="H10" s="204"/>
      <c r="I10" s="3"/>
      <c r="J10" s="204"/>
    </row>
    <row r="11" spans="1:16">
      <c r="A11" s="3" t="s">
        <v>182</v>
      </c>
      <c r="B11" s="204">
        <v>7</v>
      </c>
      <c r="C11" s="3" t="s">
        <v>182</v>
      </c>
      <c r="D11" s="204">
        <v>7</v>
      </c>
      <c r="E11" s="3" t="s">
        <v>182</v>
      </c>
      <c r="F11" s="204">
        <v>3</v>
      </c>
      <c r="G11" s="3" t="s">
        <v>182</v>
      </c>
      <c r="H11" s="204">
        <v>6</v>
      </c>
      <c r="I11" s="3" t="s">
        <v>182</v>
      </c>
      <c r="J11" s="204">
        <v>6</v>
      </c>
    </row>
    <row r="12" spans="1:16">
      <c r="A12" s="48" t="s">
        <v>183</v>
      </c>
      <c r="B12" s="39" t="s">
        <v>414</v>
      </c>
      <c r="C12" s="3" t="s">
        <v>184</v>
      </c>
      <c r="D12" s="39" t="s">
        <v>414</v>
      </c>
      <c r="E12" s="206" t="s">
        <v>186</v>
      </c>
      <c r="F12" s="39" t="s">
        <v>414</v>
      </c>
      <c r="G12" s="3" t="s">
        <v>189</v>
      </c>
      <c r="H12" s="39" t="s">
        <v>414</v>
      </c>
      <c r="I12" s="3" t="s">
        <v>190</v>
      </c>
      <c r="J12" s="39" t="s">
        <v>414</v>
      </c>
      <c r="K12" s="199" t="s">
        <v>206</v>
      </c>
      <c r="L12" s="103" t="s">
        <v>53</v>
      </c>
    </row>
    <row r="13" spans="1:16">
      <c r="A13" s="1" t="s">
        <v>144</v>
      </c>
      <c r="B13" s="20">
        <v>26172</v>
      </c>
      <c r="C13" s="1" t="s">
        <v>144</v>
      </c>
      <c r="D13" s="20">
        <v>43416</v>
      </c>
      <c r="E13" s="1" t="s">
        <v>144</v>
      </c>
      <c r="F13" s="20">
        <v>14100</v>
      </c>
      <c r="G13" s="1" t="s">
        <v>177</v>
      </c>
      <c r="H13" s="20">
        <v>30292.5</v>
      </c>
      <c r="I13" s="1" t="s">
        <v>177</v>
      </c>
      <c r="J13" s="20">
        <v>29593.5</v>
      </c>
      <c r="K13" s="208"/>
      <c r="L13" s="20">
        <f t="shared" ref="L13:L31" si="0">J13+H13+F13+D13+B13</f>
        <v>143574</v>
      </c>
    </row>
    <row r="14" spans="1:16">
      <c r="A14" s="209" t="s">
        <v>95</v>
      </c>
      <c r="B14" s="20">
        <v>0</v>
      </c>
      <c r="C14" s="209" t="s">
        <v>95</v>
      </c>
      <c r="D14" s="37">
        <v>25000</v>
      </c>
      <c r="E14" s="207" t="s">
        <v>95</v>
      </c>
      <c r="F14" s="37">
        <v>4080</v>
      </c>
      <c r="G14" s="209" t="s">
        <v>95</v>
      </c>
      <c r="H14" s="20">
        <v>28560</v>
      </c>
      <c r="I14" s="209" t="s">
        <v>95</v>
      </c>
      <c r="J14" s="20">
        <v>0</v>
      </c>
      <c r="K14" s="208">
        <v>68100</v>
      </c>
      <c r="L14" s="20">
        <f t="shared" si="0"/>
        <v>57640</v>
      </c>
    </row>
    <row r="15" spans="1:16">
      <c r="A15" s="1" t="s">
        <v>34</v>
      </c>
      <c r="B15" s="20">
        <v>3200</v>
      </c>
      <c r="C15" s="1" t="s">
        <v>34</v>
      </c>
      <c r="D15" s="20">
        <v>3200</v>
      </c>
      <c r="E15" s="207" t="s">
        <v>34</v>
      </c>
      <c r="F15" s="37">
        <v>2500</v>
      </c>
      <c r="G15" s="1" t="s">
        <v>34</v>
      </c>
      <c r="H15" s="20">
        <v>7000</v>
      </c>
      <c r="I15" s="1" t="s">
        <v>34</v>
      </c>
      <c r="J15" s="20">
        <v>1500</v>
      </c>
      <c r="K15" s="208">
        <v>68200</v>
      </c>
      <c r="L15" s="20">
        <f t="shared" si="0"/>
        <v>17400</v>
      </c>
    </row>
    <row r="16" spans="1:16">
      <c r="A16" s="209" t="s">
        <v>180</v>
      </c>
      <c r="B16" s="37">
        <v>1200</v>
      </c>
      <c r="C16" s="209" t="s">
        <v>180</v>
      </c>
      <c r="D16" s="37">
        <v>1200</v>
      </c>
      <c r="E16" s="209" t="s">
        <v>180</v>
      </c>
      <c r="F16" s="37">
        <v>0</v>
      </c>
      <c r="G16" s="207" t="s">
        <v>180</v>
      </c>
      <c r="H16" s="20">
        <v>1200</v>
      </c>
      <c r="I16" s="1" t="s">
        <v>180</v>
      </c>
      <c r="J16" s="20">
        <v>1200</v>
      </c>
      <c r="K16" s="208">
        <v>68300</v>
      </c>
      <c r="L16" s="20">
        <f t="shared" si="0"/>
        <v>4800</v>
      </c>
    </row>
    <row r="17" spans="1:12">
      <c r="A17" s="1" t="s">
        <v>91</v>
      </c>
      <c r="B17" s="20">
        <v>0</v>
      </c>
      <c r="C17" s="1" t="s">
        <v>91</v>
      </c>
      <c r="D17" s="20">
        <v>0</v>
      </c>
      <c r="E17" s="1" t="s">
        <v>91</v>
      </c>
      <c r="F17" s="37">
        <v>0</v>
      </c>
      <c r="G17" s="1" t="s">
        <v>91</v>
      </c>
      <c r="H17" s="20">
        <v>500</v>
      </c>
      <c r="I17" s="1" t="s">
        <v>91</v>
      </c>
      <c r="J17" s="20">
        <v>0</v>
      </c>
      <c r="K17" s="208">
        <v>68300</v>
      </c>
      <c r="L17" s="20">
        <f t="shared" si="0"/>
        <v>500</v>
      </c>
    </row>
    <row r="18" spans="1:12">
      <c r="A18" s="209" t="s">
        <v>92</v>
      </c>
      <c r="B18" s="37">
        <v>0</v>
      </c>
      <c r="C18" s="209" t="s">
        <v>92</v>
      </c>
      <c r="D18" s="37">
        <v>1000</v>
      </c>
      <c r="E18" s="209" t="s">
        <v>92</v>
      </c>
      <c r="F18" s="37">
        <v>250</v>
      </c>
      <c r="G18" s="209" t="s">
        <v>92</v>
      </c>
      <c r="H18" s="20">
        <v>1000</v>
      </c>
      <c r="I18" s="1" t="s">
        <v>92</v>
      </c>
      <c r="J18" s="20">
        <v>1000</v>
      </c>
      <c r="K18" s="208">
        <v>68300</v>
      </c>
      <c r="L18" s="20">
        <f t="shared" si="0"/>
        <v>3250</v>
      </c>
    </row>
    <row r="19" spans="1:12">
      <c r="A19" s="209" t="s">
        <v>181</v>
      </c>
      <c r="B19" s="37">
        <v>0</v>
      </c>
      <c r="C19" s="209" t="s">
        <v>94</v>
      </c>
      <c r="D19" s="37">
        <v>1200</v>
      </c>
      <c r="E19" s="209" t="s">
        <v>181</v>
      </c>
      <c r="F19" s="37">
        <v>0</v>
      </c>
      <c r="G19" s="209" t="s">
        <v>94</v>
      </c>
      <c r="H19" s="20">
        <v>1200</v>
      </c>
      <c r="I19" s="1" t="s">
        <v>181</v>
      </c>
      <c r="J19" s="20">
        <v>0</v>
      </c>
      <c r="K19" s="208">
        <v>68300</v>
      </c>
      <c r="L19" s="20">
        <f t="shared" si="0"/>
        <v>2400</v>
      </c>
    </row>
    <row r="20" spans="1:12">
      <c r="A20" s="1" t="s">
        <v>87</v>
      </c>
      <c r="B20" s="20">
        <v>2000</v>
      </c>
      <c r="C20" s="1" t="s">
        <v>87</v>
      </c>
      <c r="D20" s="20">
        <v>3000</v>
      </c>
      <c r="E20" s="207" t="s">
        <v>87</v>
      </c>
      <c r="F20" s="37">
        <v>0</v>
      </c>
      <c r="G20" s="1" t="s">
        <v>87</v>
      </c>
      <c r="H20" s="20">
        <v>3800</v>
      </c>
      <c r="I20" s="1" t="s">
        <v>87</v>
      </c>
      <c r="J20" s="20">
        <v>2500</v>
      </c>
      <c r="K20" s="208">
        <v>68300</v>
      </c>
      <c r="L20" s="20">
        <f t="shared" si="0"/>
        <v>11300</v>
      </c>
    </row>
    <row r="21" spans="1:12">
      <c r="A21" s="1" t="s">
        <v>86</v>
      </c>
      <c r="B21" s="20">
        <v>2500</v>
      </c>
      <c r="C21" s="1" t="s">
        <v>86</v>
      </c>
      <c r="D21" s="20">
        <v>2500</v>
      </c>
      <c r="E21" s="207" t="s">
        <v>86</v>
      </c>
      <c r="F21" s="37">
        <v>0</v>
      </c>
      <c r="G21" s="1" t="s">
        <v>86</v>
      </c>
      <c r="H21" s="20">
        <v>2500</v>
      </c>
      <c r="I21" s="1" t="s">
        <v>86</v>
      </c>
      <c r="J21" s="20">
        <v>2500</v>
      </c>
      <c r="K21" s="208">
        <v>68300</v>
      </c>
      <c r="L21" s="20">
        <f t="shared" si="0"/>
        <v>10000</v>
      </c>
    </row>
    <row r="22" spans="1:12">
      <c r="A22" s="1" t="s">
        <v>188</v>
      </c>
      <c r="B22" s="20">
        <v>0</v>
      </c>
      <c r="C22" s="1" t="s">
        <v>188</v>
      </c>
      <c r="D22" s="37">
        <v>0</v>
      </c>
      <c r="E22" s="1" t="s">
        <v>188</v>
      </c>
      <c r="F22" s="37">
        <v>0</v>
      </c>
      <c r="G22" s="1" t="s">
        <v>188</v>
      </c>
      <c r="H22" s="20">
        <v>1000</v>
      </c>
      <c r="I22" s="1" t="s">
        <v>188</v>
      </c>
      <c r="J22" s="20">
        <v>0</v>
      </c>
      <c r="K22" s="208">
        <v>68300</v>
      </c>
      <c r="L22" s="20">
        <f t="shared" si="0"/>
        <v>1000</v>
      </c>
    </row>
    <row r="23" spans="1:12">
      <c r="A23" s="1" t="s">
        <v>84</v>
      </c>
      <c r="B23" s="20">
        <v>0</v>
      </c>
      <c r="C23" s="1" t="s">
        <v>84</v>
      </c>
      <c r="D23" s="37">
        <v>0</v>
      </c>
      <c r="E23" s="1" t="s">
        <v>84</v>
      </c>
      <c r="F23" s="37">
        <v>0</v>
      </c>
      <c r="G23" s="1" t="s">
        <v>84</v>
      </c>
      <c r="H23" s="20">
        <v>2500</v>
      </c>
      <c r="I23" s="1" t="s">
        <v>84</v>
      </c>
      <c r="J23" s="20">
        <v>0</v>
      </c>
      <c r="K23" s="208">
        <v>68300</v>
      </c>
      <c r="L23" s="20">
        <f t="shared" si="0"/>
        <v>2500</v>
      </c>
    </row>
    <row r="24" spans="1:12">
      <c r="A24" s="1" t="s">
        <v>178</v>
      </c>
      <c r="B24" s="20">
        <v>6000</v>
      </c>
      <c r="C24" s="1" t="s">
        <v>178</v>
      </c>
      <c r="D24" s="20">
        <v>4000</v>
      </c>
      <c r="E24" s="207" t="s">
        <v>178</v>
      </c>
      <c r="F24" s="37">
        <v>0</v>
      </c>
      <c r="G24" s="1" t="s">
        <v>178</v>
      </c>
      <c r="H24" s="20">
        <v>4000</v>
      </c>
      <c r="I24" s="1" t="s">
        <v>178</v>
      </c>
      <c r="J24" s="20">
        <v>3000</v>
      </c>
      <c r="K24" s="208">
        <v>68400</v>
      </c>
      <c r="L24" s="20">
        <f t="shared" si="0"/>
        <v>17000</v>
      </c>
    </row>
    <row r="25" spans="1:12">
      <c r="A25" s="1" t="s">
        <v>85</v>
      </c>
      <c r="B25" s="20">
        <v>100</v>
      </c>
      <c r="C25" s="1" t="s">
        <v>85</v>
      </c>
      <c r="D25" s="20">
        <v>100</v>
      </c>
      <c r="E25" s="207" t="s">
        <v>85</v>
      </c>
      <c r="F25" s="37">
        <v>100</v>
      </c>
      <c r="G25" s="1" t="s">
        <v>85</v>
      </c>
      <c r="H25" s="20">
        <v>100</v>
      </c>
      <c r="I25" s="1" t="s">
        <v>85</v>
      </c>
      <c r="J25" s="20">
        <v>100</v>
      </c>
      <c r="K25" s="208">
        <v>68400</v>
      </c>
      <c r="L25" s="20">
        <f t="shared" si="0"/>
        <v>500</v>
      </c>
    </row>
    <row r="26" spans="1:12">
      <c r="A26" s="1" t="s">
        <v>83</v>
      </c>
      <c r="B26" s="20">
        <v>2500</v>
      </c>
      <c r="C26" s="1" t="s">
        <v>83</v>
      </c>
      <c r="D26" s="20">
        <v>2500</v>
      </c>
      <c r="E26" s="207" t="s">
        <v>83</v>
      </c>
      <c r="F26" s="37">
        <v>500</v>
      </c>
      <c r="G26" s="1" t="s">
        <v>83</v>
      </c>
      <c r="H26" s="20">
        <v>2500</v>
      </c>
      <c r="I26" s="1" t="s">
        <v>83</v>
      </c>
      <c r="J26" s="20">
        <v>2500</v>
      </c>
      <c r="K26" s="208">
        <v>68500</v>
      </c>
      <c r="L26" s="20">
        <f t="shared" si="0"/>
        <v>10500</v>
      </c>
    </row>
    <row r="27" spans="1:12">
      <c r="A27" s="1" t="s">
        <v>90</v>
      </c>
      <c r="B27" s="20">
        <v>3750</v>
      </c>
      <c r="C27" s="1" t="s">
        <v>90</v>
      </c>
      <c r="D27" s="20">
        <v>3750</v>
      </c>
      <c r="E27" s="207" t="s">
        <v>90</v>
      </c>
      <c r="F27" s="37">
        <v>0</v>
      </c>
      <c r="G27" s="1" t="s">
        <v>90</v>
      </c>
      <c r="H27" s="20">
        <v>3750</v>
      </c>
      <c r="I27" s="1" t="s">
        <v>90</v>
      </c>
      <c r="J27" s="20">
        <v>0</v>
      </c>
      <c r="K27" s="208">
        <v>68500</v>
      </c>
      <c r="L27" s="20">
        <f t="shared" si="0"/>
        <v>11250</v>
      </c>
    </row>
    <row r="28" spans="1:12">
      <c r="A28" s="209" t="s">
        <v>93</v>
      </c>
      <c r="B28" s="37">
        <v>500</v>
      </c>
      <c r="C28" s="209" t="s">
        <v>93</v>
      </c>
      <c r="D28" s="37">
        <v>1500</v>
      </c>
      <c r="E28" s="209" t="s">
        <v>93</v>
      </c>
      <c r="F28" s="37">
        <v>500</v>
      </c>
      <c r="G28" s="207" t="s">
        <v>93</v>
      </c>
      <c r="H28" s="20">
        <v>2000</v>
      </c>
      <c r="I28" s="1" t="s">
        <v>93</v>
      </c>
      <c r="J28" s="20">
        <v>500</v>
      </c>
      <c r="K28" s="208">
        <v>68600</v>
      </c>
      <c r="L28" s="20">
        <f t="shared" si="0"/>
        <v>5000</v>
      </c>
    </row>
    <row r="29" spans="1:12">
      <c r="A29" s="1" t="s">
        <v>88</v>
      </c>
      <c r="B29" s="20">
        <v>1000</v>
      </c>
      <c r="C29" s="1" t="s">
        <v>88</v>
      </c>
      <c r="D29" s="20">
        <v>1000</v>
      </c>
      <c r="E29" s="207" t="s">
        <v>187</v>
      </c>
      <c r="F29" s="37">
        <v>500</v>
      </c>
      <c r="G29" s="1" t="s">
        <v>88</v>
      </c>
      <c r="H29" s="20">
        <v>1000</v>
      </c>
      <c r="I29" s="1" t="s">
        <v>88</v>
      </c>
      <c r="J29" s="20">
        <v>1000</v>
      </c>
      <c r="K29" s="208">
        <v>68700</v>
      </c>
      <c r="L29" s="20">
        <f t="shared" si="0"/>
        <v>4500</v>
      </c>
    </row>
    <row r="30" spans="1:12">
      <c r="A30" s="207" t="s">
        <v>179</v>
      </c>
      <c r="B30" s="37">
        <v>1500</v>
      </c>
      <c r="C30" s="207" t="s">
        <v>179</v>
      </c>
      <c r="D30" s="37">
        <v>1500</v>
      </c>
      <c r="E30" s="207" t="s">
        <v>179</v>
      </c>
      <c r="F30" s="37">
        <v>500</v>
      </c>
      <c r="G30" s="1" t="s">
        <v>179</v>
      </c>
      <c r="H30" s="20">
        <v>2000</v>
      </c>
      <c r="I30" s="1" t="s">
        <v>179</v>
      </c>
      <c r="J30" s="20">
        <v>1500</v>
      </c>
      <c r="K30" s="208">
        <v>68800</v>
      </c>
      <c r="L30" s="20">
        <f t="shared" si="0"/>
        <v>7000</v>
      </c>
    </row>
    <row r="31" spans="1:12">
      <c r="A31" s="1" t="s">
        <v>89</v>
      </c>
      <c r="B31" s="20">
        <v>1000</v>
      </c>
      <c r="C31" s="1" t="s">
        <v>89</v>
      </c>
      <c r="D31" s="20">
        <v>2000</v>
      </c>
      <c r="E31" s="1" t="s">
        <v>89</v>
      </c>
      <c r="F31" s="37">
        <v>0</v>
      </c>
      <c r="G31" s="1" t="s">
        <v>89</v>
      </c>
      <c r="H31" s="20">
        <v>1500</v>
      </c>
      <c r="I31" s="1" t="s">
        <v>89</v>
      </c>
      <c r="J31" s="20">
        <v>1000</v>
      </c>
      <c r="K31" s="208">
        <v>68800</v>
      </c>
      <c r="L31" s="20">
        <f t="shared" si="0"/>
        <v>5500</v>
      </c>
    </row>
    <row r="32" spans="1:12">
      <c r="A32" s="210" t="s">
        <v>20</v>
      </c>
      <c r="B32" s="103">
        <f>SUM(B13:B31)</f>
        <v>51422</v>
      </c>
      <c r="C32" s="210" t="s">
        <v>20</v>
      </c>
      <c r="D32" s="103">
        <f>SUM(D13:D31)</f>
        <v>96866</v>
      </c>
      <c r="E32" s="210" t="s">
        <v>20</v>
      </c>
      <c r="F32" s="103">
        <f>SUM(F13:F31)</f>
        <v>23030</v>
      </c>
      <c r="G32" s="210" t="s">
        <v>20</v>
      </c>
      <c r="H32" s="103">
        <f>SUM(H13:H31)</f>
        <v>96402.5</v>
      </c>
      <c r="I32" s="3" t="s">
        <v>20</v>
      </c>
      <c r="J32" s="103">
        <f>SUM(J13:J31)</f>
        <v>47893.5</v>
      </c>
      <c r="L32" s="103">
        <f>SUM(L13:L31)</f>
        <v>315614</v>
      </c>
    </row>
    <row r="33" spans="1:12">
      <c r="G33" s="209"/>
      <c r="J33" s="20"/>
    </row>
    <row r="34" spans="1:12">
      <c r="A34" s="1" t="s">
        <v>96</v>
      </c>
      <c r="B34" s="20">
        <f>B32*10%</f>
        <v>5142.2000000000007</v>
      </c>
      <c r="C34" s="1" t="s">
        <v>96</v>
      </c>
      <c r="D34" s="20">
        <f>D32*10%</f>
        <v>9686.6</v>
      </c>
      <c r="E34" s="1" t="s">
        <v>96</v>
      </c>
      <c r="F34" s="20">
        <f>F32*10%</f>
        <v>2303</v>
      </c>
      <c r="G34" s="1" t="s">
        <v>96</v>
      </c>
      <c r="H34" s="20">
        <f>H32*10%</f>
        <v>9640.25</v>
      </c>
      <c r="I34" s="1" t="s">
        <v>96</v>
      </c>
      <c r="J34" s="20">
        <v>4789.3500000000004</v>
      </c>
      <c r="L34" s="20">
        <f>J34+H34+F34+D34+B34</f>
        <v>31561.399999999998</v>
      </c>
    </row>
    <row r="35" spans="1:12">
      <c r="J35" s="20"/>
    </row>
    <row r="36" spans="1:12">
      <c r="A36" s="3" t="s">
        <v>53</v>
      </c>
      <c r="B36" s="103">
        <f>SUM(B32:B35)</f>
        <v>56564.2</v>
      </c>
      <c r="C36" s="3" t="s">
        <v>53</v>
      </c>
      <c r="D36" s="103">
        <f>SUM(D32:D35)</f>
        <v>106552.6</v>
      </c>
      <c r="E36" s="3" t="s">
        <v>53</v>
      </c>
      <c r="F36" s="103">
        <f>SUM(F32:F35)</f>
        <v>25333</v>
      </c>
      <c r="G36" s="3" t="s">
        <v>53</v>
      </c>
      <c r="H36" s="103">
        <f>SUM(H32:H35)</f>
        <v>106042.75</v>
      </c>
      <c r="I36" s="1" t="s">
        <v>53</v>
      </c>
      <c r="J36" s="103">
        <f>SUM(J32:J35)</f>
        <v>52682.85</v>
      </c>
      <c r="L36" s="103">
        <f>J36+H36+F36+D36+B36</f>
        <v>347175.4</v>
      </c>
    </row>
    <row r="38" spans="1:12">
      <c r="A38" s="211" t="s">
        <v>42</v>
      </c>
      <c r="B38" s="212">
        <v>56564.2</v>
      </c>
      <c r="C38" s="211" t="s">
        <v>41</v>
      </c>
      <c r="D38" s="212">
        <v>106552.6</v>
      </c>
      <c r="E38" s="211" t="s">
        <v>43</v>
      </c>
      <c r="F38" s="212">
        <v>25333</v>
      </c>
      <c r="G38" s="211" t="s">
        <v>40</v>
      </c>
      <c r="H38" s="212">
        <v>106042.75</v>
      </c>
      <c r="I38" s="213" t="s">
        <v>45</v>
      </c>
      <c r="J38" s="214">
        <v>52682.85</v>
      </c>
      <c r="L38" s="103"/>
    </row>
    <row r="39" spans="1:12">
      <c r="B39" s="20"/>
      <c r="C39" s="20"/>
      <c r="D39" s="20"/>
      <c r="E39" s="20"/>
      <c r="F39" s="20"/>
      <c r="G39" s="20"/>
    </row>
    <row r="40" spans="1:12">
      <c r="B40" s="20"/>
      <c r="C40" s="20"/>
      <c r="D40" s="20"/>
      <c r="E40" s="20"/>
      <c r="F40" s="20"/>
      <c r="G40" s="20"/>
    </row>
    <row r="41" spans="1:12">
      <c r="B41" s="20"/>
      <c r="C41" s="20"/>
      <c r="D41" s="20"/>
      <c r="E41" s="20"/>
      <c r="F41" s="20"/>
      <c r="G41" s="20"/>
    </row>
    <row r="42" spans="1:12">
      <c r="B42" s="20"/>
      <c r="C42" s="20"/>
      <c r="D42" s="20"/>
      <c r="E42" s="20"/>
      <c r="F42" s="20"/>
      <c r="G42" s="20"/>
    </row>
    <row r="155" spans="30:30">
      <c r="AD155" s="1">
        <v>0</v>
      </c>
    </row>
  </sheetData>
  <sortState ref="A14:L31">
    <sortCondition ref="K14:K3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93641-78C7-634E-8D25-AB64BF49F32E}">
  <dimension ref="A1:AD155"/>
  <sheetViews>
    <sheetView zoomScale="125" zoomScaleNormal="125" workbookViewId="0">
      <selection activeCell="E8" sqref="E8"/>
    </sheetView>
  </sheetViews>
  <sheetFormatPr baseColWidth="10" defaultRowHeight="15"/>
  <cols>
    <col min="1" max="1" width="14.5" style="1" bestFit="1" customWidth="1"/>
    <col min="2" max="3" width="7.1640625" style="1" bestFit="1" customWidth="1"/>
    <col min="4" max="4" width="7.6640625" style="1" bestFit="1" customWidth="1"/>
    <col min="5" max="5" width="6" style="1" bestFit="1" customWidth="1"/>
    <col min="6" max="6" width="10.83203125" style="1" bestFit="1" customWidth="1"/>
    <col min="7" max="7" width="12.1640625" style="1" bestFit="1" customWidth="1"/>
    <col min="8" max="8" width="8.33203125" style="1" bestFit="1" customWidth="1"/>
    <col min="9" max="9" width="9" style="1" bestFit="1" customWidth="1"/>
    <col min="10" max="10" width="10.1640625" style="1" bestFit="1" customWidth="1"/>
    <col min="11" max="11" width="8.1640625" style="3" bestFit="1" customWidth="1"/>
    <col min="12" max="16384" width="10.83203125" style="1"/>
  </cols>
  <sheetData>
    <row r="1" spans="1:16">
      <c r="A1" s="3" t="s">
        <v>119</v>
      </c>
      <c r="K1" s="263"/>
      <c r="L1" s="110"/>
      <c r="M1" s="110"/>
      <c r="N1" s="110"/>
      <c r="O1" s="110"/>
      <c r="P1" s="110"/>
    </row>
    <row r="2" spans="1:16">
      <c r="A2" s="55" t="s">
        <v>104</v>
      </c>
      <c r="B2" s="215" t="s">
        <v>51</v>
      </c>
      <c r="C2" s="215" t="s">
        <v>105</v>
      </c>
      <c r="D2" s="215" t="s">
        <v>106</v>
      </c>
      <c r="E2" s="215" t="s">
        <v>52</v>
      </c>
      <c r="F2" s="215" t="s">
        <v>125</v>
      </c>
      <c r="G2" s="57" t="s">
        <v>118</v>
      </c>
      <c r="H2" s="216" t="s">
        <v>117</v>
      </c>
      <c r="I2" s="197" t="s">
        <v>116</v>
      </c>
      <c r="J2" s="57" t="s">
        <v>107</v>
      </c>
      <c r="K2" s="263"/>
      <c r="L2" s="110"/>
      <c r="M2" s="110"/>
      <c r="N2" s="110"/>
      <c r="O2" s="110"/>
      <c r="P2" s="110"/>
    </row>
    <row r="3" spans="1:16">
      <c r="A3" s="15" t="s">
        <v>109</v>
      </c>
      <c r="B3" s="9">
        <v>500</v>
      </c>
      <c r="C3" s="9">
        <v>162</v>
      </c>
      <c r="D3" s="9">
        <v>40</v>
      </c>
      <c r="E3" s="9">
        <v>65</v>
      </c>
      <c r="F3" s="9">
        <v>0</v>
      </c>
      <c r="G3" s="10">
        <f>SUM(B3:F3)</f>
        <v>767</v>
      </c>
      <c r="H3" s="107">
        <v>7</v>
      </c>
      <c r="I3" s="11">
        <f>G3*H3</f>
        <v>5369</v>
      </c>
      <c r="J3" s="10"/>
      <c r="K3" s="263"/>
      <c r="L3" s="110"/>
      <c r="M3" s="110"/>
      <c r="N3" s="110"/>
      <c r="O3" s="110"/>
      <c r="P3" s="110"/>
    </row>
    <row r="4" spans="1:16">
      <c r="A4" s="15" t="s">
        <v>109</v>
      </c>
      <c r="B4" s="9">
        <v>500</v>
      </c>
      <c r="C4" s="9">
        <v>162</v>
      </c>
      <c r="D4" s="9">
        <v>40</v>
      </c>
      <c r="E4" s="9">
        <v>65</v>
      </c>
      <c r="F4" s="9">
        <v>0</v>
      </c>
      <c r="G4" s="10">
        <f>SUM(B4:F4)</f>
        <v>767</v>
      </c>
      <c r="H4" s="107">
        <v>7</v>
      </c>
      <c r="I4" s="11">
        <f>G4*H4</f>
        <v>5369</v>
      </c>
      <c r="J4" s="10"/>
      <c r="M4" s="195"/>
    </row>
    <row r="5" spans="1:16">
      <c r="A5" s="15" t="s">
        <v>102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10">
        <f>SUM(B5:F5)</f>
        <v>0</v>
      </c>
      <c r="H5" s="107"/>
      <c r="I5" s="11">
        <f t="shared" ref="I5" si="0">G5*I$1</f>
        <v>0</v>
      </c>
      <c r="J5" s="10"/>
      <c r="M5" s="195"/>
    </row>
    <row r="6" spans="1:16">
      <c r="A6" s="15" t="s">
        <v>110</v>
      </c>
      <c r="B6" s="9">
        <v>550</v>
      </c>
      <c r="C6" s="9">
        <v>162</v>
      </c>
      <c r="D6" s="9">
        <v>44</v>
      </c>
      <c r="E6" s="9">
        <v>71.5</v>
      </c>
      <c r="F6" s="9">
        <v>0</v>
      </c>
      <c r="G6" s="10">
        <f>SUM(B6:F6)</f>
        <v>827.5</v>
      </c>
      <c r="H6" s="107">
        <v>8</v>
      </c>
      <c r="I6" s="11">
        <f t="shared" ref="I6:I8" si="1">G6*H6</f>
        <v>6620</v>
      </c>
      <c r="J6" s="10">
        <v>113</v>
      </c>
      <c r="M6" s="195"/>
    </row>
    <row r="7" spans="1:16">
      <c r="A7" s="15" t="s">
        <v>111</v>
      </c>
      <c r="B7" s="9">
        <v>500</v>
      </c>
      <c r="C7" s="9"/>
      <c r="D7" s="9"/>
      <c r="E7" s="9">
        <v>65</v>
      </c>
      <c r="F7" s="9">
        <v>0</v>
      </c>
      <c r="G7" s="10">
        <f t="shared" ref="G7:G8" si="2">SUM(B7:E7)</f>
        <v>565</v>
      </c>
      <c r="H7" s="107">
        <v>7</v>
      </c>
      <c r="I7" s="11">
        <f t="shared" si="1"/>
        <v>3955</v>
      </c>
      <c r="J7" s="10"/>
      <c r="M7" s="195"/>
    </row>
    <row r="8" spans="1:16">
      <c r="A8" s="16" t="s">
        <v>112</v>
      </c>
      <c r="B8" s="217">
        <v>500</v>
      </c>
      <c r="C8" s="217"/>
      <c r="D8" s="217"/>
      <c r="E8" s="217">
        <v>65</v>
      </c>
      <c r="F8" s="9">
        <v>0</v>
      </c>
      <c r="G8" s="10">
        <f t="shared" si="2"/>
        <v>565</v>
      </c>
      <c r="H8" s="218">
        <v>7</v>
      </c>
      <c r="I8" s="11">
        <f t="shared" si="1"/>
        <v>3955</v>
      </c>
      <c r="J8" s="219"/>
      <c r="M8" s="195"/>
    </row>
    <row r="9" spans="1:16">
      <c r="A9" s="55" t="s">
        <v>103</v>
      </c>
      <c r="B9" s="220">
        <f>SUM(B3:B8)</f>
        <v>2550</v>
      </c>
      <c r="C9" s="220">
        <f t="shared" ref="C9:I9" si="3">SUM(C3:C8)</f>
        <v>486</v>
      </c>
      <c r="D9" s="220">
        <f t="shared" si="3"/>
        <v>124</v>
      </c>
      <c r="E9" s="220">
        <f t="shared" si="3"/>
        <v>331.5</v>
      </c>
      <c r="F9" s="220">
        <f t="shared" si="3"/>
        <v>0</v>
      </c>
      <c r="G9" s="203">
        <f t="shared" si="3"/>
        <v>3491.5</v>
      </c>
      <c r="H9" s="221"/>
      <c r="I9" s="222">
        <f t="shared" si="3"/>
        <v>25268</v>
      </c>
      <c r="J9" s="203">
        <f>SUM(J3:J8)</f>
        <v>113</v>
      </c>
      <c r="K9" s="175">
        <f>J9+I9</f>
        <v>25381</v>
      </c>
      <c r="M9" s="195"/>
    </row>
    <row r="11" spans="1:16">
      <c r="A11" s="55" t="s">
        <v>41</v>
      </c>
      <c r="B11" s="215" t="s">
        <v>51</v>
      </c>
      <c r="C11" s="215" t="s">
        <v>105</v>
      </c>
      <c r="D11" s="215" t="s">
        <v>106</v>
      </c>
      <c r="E11" s="215" t="s">
        <v>52</v>
      </c>
      <c r="F11" s="215" t="s">
        <v>125</v>
      </c>
      <c r="G11" s="57" t="s">
        <v>118</v>
      </c>
      <c r="H11" s="215" t="s">
        <v>117</v>
      </c>
      <c r="I11" s="197" t="s">
        <v>116</v>
      </c>
      <c r="J11" s="57" t="s">
        <v>107</v>
      </c>
    </row>
    <row r="12" spans="1:16">
      <c r="A12" s="1" t="s">
        <v>109</v>
      </c>
      <c r="B12" s="20">
        <v>500</v>
      </c>
      <c r="C12" s="20">
        <v>162</v>
      </c>
      <c r="D12" s="20">
        <v>40</v>
      </c>
      <c r="E12" s="20">
        <v>65</v>
      </c>
      <c r="F12" s="9">
        <v>0</v>
      </c>
      <c r="G12" s="10">
        <f t="shared" ref="G12:G19" si="4">SUM(B12:E12)</f>
        <v>767</v>
      </c>
      <c r="H12" s="20">
        <v>7</v>
      </c>
      <c r="I12" s="11">
        <f t="shared" ref="I12:I19" si="5">G12*H12</f>
        <v>5369</v>
      </c>
      <c r="J12" s="10"/>
    </row>
    <row r="13" spans="1:16">
      <c r="A13" s="1" t="s">
        <v>109</v>
      </c>
      <c r="B13" s="20">
        <v>500</v>
      </c>
      <c r="C13" s="20">
        <v>162</v>
      </c>
      <c r="D13" s="20">
        <v>40</v>
      </c>
      <c r="E13" s="20">
        <v>65</v>
      </c>
      <c r="F13" s="9">
        <v>0</v>
      </c>
      <c r="G13" s="10">
        <f t="shared" si="4"/>
        <v>767</v>
      </c>
      <c r="H13" s="20">
        <v>7</v>
      </c>
      <c r="I13" s="11">
        <f t="shared" si="5"/>
        <v>5369</v>
      </c>
      <c r="J13" s="10"/>
      <c r="K13" s="103"/>
    </row>
    <row r="14" spans="1:16">
      <c r="A14" s="1" t="s">
        <v>109</v>
      </c>
      <c r="B14" s="20">
        <v>500</v>
      </c>
      <c r="C14" s="20">
        <v>162</v>
      </c>
      <c r="D14" s="20">
        <v>40</v>
      </c>
      <c r="E14" s="20">
        <v>65</v>
      </c>
      <c r="F14" s="9">
        <v>0</v>
      </c>
      <c r="G14" s="10">
        <f t="shared" si="4"/>
        <v>767</v>
      </c>
      <c r="H14" s="20">
        <v>7</v>
      </c>
      <c r="I14" s="11">
        <f t="shared" si="5"/>
        <v>5369</v>
      </c>
      <c r="J14" s="10"/>
    </row>
    <row r="15" spans="1:16">
      <c r="A15" s="1" t="s">
        <v>109</v>
      </c>
      <c r="B15" s="20">
        <v>500</v>
      </c>
      <c r="C15" s="20">
        <v>162</v>
      </c>
      <c r="D15" s="20">
        <v>40</v>
      </c>
      <c r="E15" s="20">
        <v>65</v>
      </c>
      <c r="F15" s="9">
        <v>0</v>
      </c>
      <c r="G15" s="10">
        <f t="shared" si="4"/>
        <v>767</v>
      </c>
      <c r="H15" s="20">
        <v>7</v>
      </c>
      <c r="I15" s="11">
        <f t="shared" si="5"/>
        <v>5369</v>
      </c>
      <c r="J15" s="10"/>
    </row>
    <row r="16" spans="1:16">
      <c r="A16" s="1" t="s">
        <v>109</v>
      </c>
      <c r="B16" s="20">
        <v>500</v>
      </c>
      <c r="C16" s="20">
        <v>162</v>
      </c>
      <c r="D16" s="20">
        <v>40</v>
      </c>
      <c r="E16" s="20">
        <v>65</v>
      </c>
      <c r="F16" s="9">
        <v>0</v>
      </c>
      <c r="G16" s="10">
        <f t="shared" si="4"/>
        <v>767</v>
      </c>
      <c r="H16" s="20">
        <v>7</v>
      </c>
      <c r="I16" s="11">
        <f t="shared" si="5"/>
        <v>5369</v>
      </c>
      <c r="J16" s="10"/>
    </row>
    <row r="17" spans="1:11">
      <c r="A17" s="1" t="s">
        <v>113</v>
      </c>
      <c r="B17" s="20">
        <v>500</v>
      </c>
      <c r="C17" s="20">
        <v>162</v>
      </c>
      <c r="D17" s="20">
        <v>40</v>
      </c>
      <c r="E17" s="20">
        <v>65</v>
      </c>
      <c r="F17" s="9">
        <v>0</v>
      </c>
      <c r="G17" s="10">
        <f t="shared" si="4"/>
        <v>767</v>
      </c>
      <c r="H17" s="20">
        <v>4</v>
      </c>
      <c r="I17" s="11">
        <f t="shared" si="5"/>
        <v>3068</v>
      </c>
      <c r="J17" s="10"/>
    </row>
    <row r="18" spans="1:11">
      <c r="A18" s="1" t="s">
        <v>102</v>
      </c>
      <c r="B18" s="20">
        <v>5000</v>
      </c>
      <c r="C18" s="20">
        <v>500</v>
      </c>
      <c r="D18" s="20">
        <v>479</v>
      </c>
      <c r="E18" s="20">
        <v>0</v>
      </c>
      <c r="F18" s="9">
        <v>0</v>
      </c>
      <c r="G18" s="10">
        <f t="shared" si="4"/>
        <v>5979</v>
      </c>
      <c r="H18" s="20">
        <v>1</v>
      </c>
      <c r="I18" s="11">
        <f t="shared" si="5"/>
        <v>5979</v>
      </c>
      <c r="J18" s="10"/>
    </row>
    <row r="19" spans="1:11">
      <c r="A19" s="1" t="s">
        <v>110</v>
      </c>
      <c r="B19" s="20">
        <v>550</v>
      </c>
      <c r="C19" s="20">
        <v>162</v>
      </c>
      <c r="D19" s="20">
        <v>44</v>
      </c>
      <c r="E19" s="20">
        <v>71.5</v>
      </c>
      <c r="F19" s="9">
        <v>0</v>
      </c>
      <c r="G19" s="10">
        <f t="shared" si="4"/>
        <v>827.5</v>
      </c>
      <c r="H19" s="20">
        <v>8</v>
      </c>
      <c r="I19" s="177">
        <f t="shared" si="5"/>
        <v>6620</v>
      </c>
      <c r="J19" s="10">
        <v>113</v>
      </c>
    </row>
    <row r="20" spans="1:11">
      <c r="A20" s="55" t="s">
        <v>103</v>
      </c>
      <c r="B20" s="220">
        <f>SUM(B12:B19)</f>
        <v>8550</v>
      </c>
      <c r="C20" s="220">
        <f t="shared" ref="C20:I20" si="6">SUM(C12:C19)</f>
        <v>1634</v>
      </c>
      <c r="D20" s="220">
        <f t="shared" si="6"/>
        <v>763</v>
      </c>
      <c r="E20" s="220">
        <f t="shared" si="6"/>
        <v>461.5</v>
      </c>
      <c r="F20" s="220">
        <f t="shared" si="6"/>
        <v>0</v>
      </c>
      <c r="G20" s="203">
        <f t="shared" si="6"/>
        <v>11408.5</v>
      </c>
      <c r="H20" s="220"/>
      <c r="I20" s="222">
        <f t="shared" si="6"/>
        <v>42512</v>
      </c>
      <c r="J20" s="203">
        <f>SUM(J12:J19)</f>
        <v>113</v>
      </c>
      <c r="K20" s="175">
        <f>J20+I20</f>
        <v>42625</v>
      </c>
    </row>
    <row r="22" spans="1:11">
      <c r="A22" s="55" t="s">
        <v>43</v>
      </c>
      <c r="B22" s="215" t="s">
        <v>51</v>
      </c>
      <c r="C22" s="215" t="s">
        <v>105</v>
      </c>
      <c r="D22" s="215" t="s">
        <v>106</v>
      </c>
      <c r="E22" s="215" t="s">
        <v>52</v>
      </c>
      <c r="F22" s="215" t="s">
        <v>125</v>
      </c>
      <c r="G22" s="57" t="s">
        <v>108</v>
      </c>
      <c r="H22" s="215" t="s">
        <v>117</v>
      </c>
      <c r="I22" s="197" t="s">
        <v>116</v>
      </c>
      <c r="J22" s="57" t="s">
        <v>107</v>
      </c>
    </row>
    <row r="23" spans="1:11">
      <c r="A23" s="35" t="s">
        <v>109</v>
      </c>
      <c r="B23" s="154">
        <v>500</v>
      </c>
      <c r="C23" s="154">
        <v>162</v>
      </c>
      <c r="D23" s="154">
        <v>40</v>
      </c>
      <c r="E23" s="154">
        <v>65</v>
      </c>
      <c r="F23" s="9">
        <v>0</v>
      </c>
      <c r="G23" s="223">
        <f>SUM(B23:E23)</f>
        <v>767</v>
      </c>
      <c r="H23" s="154">
        <v>3</v>
      </c>
      <c r="I23" s="127">
        <f t="shared" ref="I23:I26" si="7">G23*H23</f>
        <v>2301</v>
      </c>
      <c r="J23" s="223"/>
    </row>
    <row r="24" spans="1:11">
      <c r="A24" s="15" t="s">
        <v>109</v>
      </c>
      <c r="B24" s="9">
        <v>500</v>
      </c>
      <c r="C24" s="9">
        <v>162</v>
      </c>
      <c r="D24" s="9">
        <v>40</v>
      </c>
      <c r="E24" s="9">
        <v>65</v>
      </c>
      <c r="F24" s="9">
        <v>0</v>
      </c>
      <c r="G24" s="10">
        <f>SUM(B24:E24)</f>
        <v>767</v>
      </c>
      <c r="H24" s="9">
        <v>3</v>
      </c>
      <c r="I24" s="11">
        <f t="shared" si="7"/>
        <v>2301</v>
      </c>
      <c r="J24" s="10"/>
    </row>
    <row r="25" spans="1:11">
      <c r="A25" s="15" t="s">
        <v>102</v>
      </c>
      <c r="B25" s="9">
        <v>5000</v>
      </c>
      <c r="C25" s="9">
        <v>675</v>
      </c>
      <c r="D25" s="9">
        <v>400</v>
      </c>
      <c r="E25" s="9">
        <v>0</v>
      </c>
      <c r="F25" s="9">
        <v>0</v>
      </c>
      <c r="G25" s="10">
        <f>SUM(B25:E25)</f>
        <v>6075</v>
      </c>
      <c r="H25" s="9">
        <v>1</v>
      </c>
      <c r="I25" s="11">
        <f t="shared" si="7"/>
        <v>6075</v>
      </c>
      <c r="J25" s="10"/>
    </row>
    <row r="26" spans="1:11">
      <c r="A26" s="16" t="s">
        <v>110</v>
      </c>
      <c r="B26" s="217">
        <v>550</v>
      </c>
      <c r="C26" s="217">
        <v>162</v>
      </c>
      <c r="D26" s="217">
        <v>44</v>
      </c>
      <c r="E26" s="217">
        <v>71.5</v>
      </c>
      <c r="F26" s="9">
        <v>0</v>
      </c>
      <c r="G26" s="219">
        <f>SUM(B26:E26)</f>
        <v>827.5</v>
      </c>
      <c r="H26" s="217">
        <v>4</v>
      </c>
      <c r="I26" s="188">
        <f t="shared" si="7"/>
        <v>3310</v>
      </c>
      <c r="J26" s="219">
        <v>113</v>
      </c>
    </row>
    <row r="27" spans="1:11">
      <c r="A27" s="55" t="s">
        <v>103</v>
      </c>
      <c r="B27" s="220">
        <f>SUM(B23:B26)</f>
        <v>6550</v>
      </c>
      <c r="C27" s="220">
        <f t="shared" ref="C27:I27" si="8">SUM(C23:C26)</f>
        <v>1161</v>
      </c>
      <c r="D27" s="220">
        <f t="shared" si="8"/>
        <v>524</v>
      </c>
      <c r="E27" s="220">
        <f t="shared" si="8"/>
        <v>201.5</v>
      </c>
      <c r="F27" s="220">
        <f t="shared" si="8"/>
        <v>0</v>
      </c>
      <c r="G27" s="203">
        <f t="shared" si="8"/>
        <v>8436.5</v>
      </c>
      <c r="H27" s="220"/>
      <c r="I27" s="222">
        <f t="shared" si="8"/>
        <v>13987</v>
      </c>
      <c r="J27" s="203">
        <f>SUM(J23:J26)</f>
        <v>113</v>
      </c>
      <c r="K27" s="175">
        <f>J27+I27</f>
        <v>14100</v>
      </c>
    </row>
    <row r="29" spans="1:11">
      <c r="A29" s="55" t="s">
        <v>40</v>
      </c>
      <c r="B29" s="215" t="s">
        <v>51</v>
      </c>
      <c r="C29" s="215" t="s">
        <v>105</v>
      </c>
      <c r="D29" s="215" t="s">
        <v>106</v>
      </c>
      <c r="E29" s="215" t="s">
        <v>52</v>
      </c>
      <c r="F29" s="215" t="s">
        <v>125</v>
      </c>
      <c r="G29" s="57" t="s">
        <v>108</v>
      </c>
      <c r="H29" s="215" t="s">
        <v>117</v>
      </c>
      <c r="I29" s="57" t="s">
        <v>116</v>
      </c>
      <c r="J29" s="57" t="s">
        <v>107</v>
      </c>
    </row>
    <row r="30" spans="1:11">
      <c r="A30" s="35" t="s">
        <v>109</v>
      </c>
      <c r="B30" s="154">
        <v>500</v>
      </c>
      <c r="C30" s="154">
        <v>162</v>
      </c>
      <c r="D30" s="154">
        <v>40</v>
      </c>
      <c r="E30" s="154">
        <v>65</v>
      </c>
      <c r="F30" s="9">
        <v>0</v>
      </c>
      <c r="G30" s="223">
        <f t="shared" ref="G30:G35" si="9">SUM(B30:E30)</f>
        <v>767</v>
      </c>
      <c r="H30" s="154">
        <v>6</v>
      </c>
      <c r="I30" s="10">
        <f t="shared" ref="I30:I35" si="10">G30*H30</f>
        <v>4602</v>
      </c>
      <c r="J30" s="223"/>
    </row>
    <row r="31" spans="1:11">
      <c r="A31" s="15" t="s">
        <v>109</v>
      </c>
      <c r="B31" s="9">
        <v>500</v>
      </c>
      <c r="C31" s="9">
        <v>162</v>
      </c>
      <c r="D31" s="9">
        <v>40</v>
      </c>
      <c r="E31" s="9">
        <v>65</v>
      </c>
      <c r="F31" s="9">
        <v>0</v>
      </c>
      <c r="G31" s="10">
        <f t="shared" si="9"/>
        <v>767</v>
      </c>
      <c r="H31" s="9">
        <v>6</v>
      </c>
      <c r="I31" s="10">
        <f t="shared" si="10"/>
        <v>4602</v>
      </c>
      <c r="J31" s="10"/>
    </row>
    <row r="32" spans="1:11">
      <c r="A32" s="15" t="s">
        <v>109</v>
      </c>
      <c r="B32" s="9">
        <v>500</v>
      </c>
      <c r="C32" s="9">
        <v>162</v>
      </c>
      <c r="D32" s="9">
        <v>40</v>
      </c>
      <c r="E32" s="9">
        <v>65</v>
      </c>
      <c r="F32" s="9">
        <v>0</v>
      </c>
      <c r="G32" s="10">
        <f t="shared" si="9"/>
        <v>767</v>
      </c>
      <c r="H32" s="9">
        <v>6</v>
      </c>
      <c r="I32" s="10">
        <f t="shared" si="10"/>
        <v>4602</v>
      </c>
      <c r="J32" s="10"/>
    </row>
    <row r="33" spans="1:13">
      <c r="A33" s="15" t="s">
        <v>109</v>
      </c>
      <c r="B33" s="9">
        <v>500</v>
      </c>
      <c r="C33" s="9">
        <v>162</v>
      </c>
      <c r="D33" s="9">
        <v>40</v>
      </c>
      <c r="E33" s="9">
        <v>65</v>
      </c>
      <c r="F33" s="9">
        <v>0</v>
      </c>
      <c r="G33" s="10">
        <f t="shared" si="9"/>
        <v>767</v>
      </c>
      <c r="H33" s="9">
        <v>6</v>
      </c>
      <c r="I33" s="10">
        <f t="shared" si="10"/>
        <v>4602</v>
      </c>
      <c r="J33" s="10"/>
    </row>
    <row r="34" spans="1:13">
      <c r="A34" s="15" t="s">
        <v>102</v>
      </c>
      <c r="B34" s="9">
        <v>4000</v>
      </c>
      <c r="C34" s="9">
        <v>500</v>
      </c>
      <c r="D34" s="9">
        <v>479</v>
      </c>
      <c r="E34" s="9"/>
      <c r="F34" s="9">
        <v>0</v>
      </c>
      <c r="G34" s="10">
        <f t="shared" si="9"/>
        <v>4979</v>
      </c>
      <c r="H34" s="9">
        <v>1</v>
      </c>
      <c r="I34" s="10">
        <f t="shared" si="10"/>
        <v>4979</v>
      </c>
      <c r="J34" s="10"/>
    </row>
    <row r="35" spans="1:13">
      <c r="A35" s="16" t="s">
        <v>110</v>
      </c>
      <c r="B35" s="217">
        <v>550</v>
      </c>
      <c r="C35" s="217">
        <v>162</v>
      </c>
      <c r="D35" s="217">
        <v>44</v>
      </c>
      <c r="E35" s="217">
        <v>71.5</v>
      </c>
      <c r="F35" s="9">
        <v>0</v>
      </c>
      <c r="G35" s="219">
        <f t="shared" si="9"/>
        <v>827.5</v>
      </c>
      <c r="H35" s="217">
        <v>7</v>
      </c>
      <c r="I35" s="224">
        <f t="shared" si="10"/>
        <v>5792.5</v>
      </c>
      <c r="J35" s="219">
        <v>113</v>
      </c>
    </row>
    <row r="36" spans="1:13">
      <c r="A36" s="55" t="s">
        <v>103</v>
      </c>
      <c r="B36" s="220">
        <f>SUM(B30:B35)</f>
        <v>6550</v>
      </c>
      <c r="C36" s="220">
        <f t="shared" ref="C36:I36" si="11">SUM(C30:C35)</f>
        <v>1310</v>
      </c>
      <c r="D36" s="220">
        <f t="shared" si="11"/>
        <v>683</v>
      </c>
      <c r="E36" s="220">
        <f t="shared" si="11"/>
        <v>331.5</v>
      </c>
      <c r="F36" s="220">
        <f t="shared" si="11"/>
        <v>0</v>
      </c>
      <c r="G36" s="203">
        <f t="shared" si="11"/>
        <v>8874.5</v>
      </c>
      <c r="H36" s="220"/>
      <c r="I36" s="184">
        <f t="shared" si="11"/>
        <v>29179.5</v>
      </c>
      <c r="J36" s="203">
        <f>SUM(J30:J35)</f>
        <v>113</v>
      </c>
      <c r="K36" s="175">
        <f>J36+I36</f>
        <v>29292.5</v>
      </c>
    </row>
    <row r="37" spans="1:13">
      <c r="G37" s="225"/>
      <c r="H37" s="225"/>
    </row>
    <row r="38" spans="1:13">
      <c r="A38" s="55" t="s">
        <v>45</v>
      </c>
      <c r="B38" s="215" t="s">
        <v>51</v>
      </c>
      <c r="C38" s="215" t="s">
        <v>105</v>
      </c>
      <c r="D38" s="215" t="s">
        <v>106</v>
      </c>
      <c r="E38" s="215" t="s">
        <v>52</v>
      </c>
      <c r="F38" s="215" t="s">
        <v>125</v>
      </c>
      <c r="G38" s="226" t="s">
        <v>108</v>
      </c>
      <c r="H38" s="215" t="s">
        <v>117</v>
      </c>
      <c r="I38" s="57" t="s">
        <v>116</v>
      </c>
      <c r="J38" s="57" t="s">
        <v>107</v>
      </c>
    </row>
    <row r="39" spans="1:13">
      <c r="A39" s="35" t="s">
        <v>109</v>
      </c>
      <c r="B39" s="154">
        <v>500</v>
      </c>
      <c r="C39" s="154">
        <v>162</v>
      </c>
      <c r="D39" s="154">
        <v>40</v>
      </c>
      <c r="E39" s="154">
        <v>65</v>
      </c>
      <c r="F39" s="127">
        <v>0</v>
      </c>
      <c r="G39" s="223">
        <f t="shared" ref="G39:G45" si="12">SUM(B39:E39)</f>
        <v>767</v>
      </c>
      <c r="H39" s="9">
        <v>6</v>
      </c>
      <c r="I39" s="10">
        <f t="shared" ref="I39:I45" si="13">G39*H39</f>
        <v>4602</v>
      </c>
      <c r="J39" s="10"/>
    </row>
    <row r="40" spans="1:13">
      <c r="A40" s="15" t="s">
        <v>109</v>
      </c>
      <c r="B40" s="9">
        <v>500</v>
      </c>
      <c r="C40" s="9">
        <v>162</v>
      </c>
      <c r="D40" s="9">
        <v>40</v>
      </c>
      <c r="E40" s="9">
        <v>65</v>
      </c>
      <c r="F40" s="11">
        <v>0</v>
      </c>
      <c r="G40" s="10">
        <f t="shared" si="12"/>
        <v>767</v>
      </c>
      <c r="H40" s="9">
        <v>6</v>
      </c>
      <c r="I40" s="10">
        <f t="shared" si="13"/>
        <v>4602</v>
      </c>
      <c r="J40" s="10"/>
    </row>
    <row r="41" spans="1:13">
      <c r="A41" s="15" t="s">
        <v>109</v>
      </c>
      <c r="B41" s="9">
        <v>500</v>
      </c>
      <c r="C41" s="9">
        <v>162</v>
      </c>
      <c r="D41" s="9">
        <v>40</v>
      </c>
      <c r="E41" s="9">
        <v>65</v>
      </c>
      <c r="F41" s="11">
        <v>0</v>
      </c>
      <c r="G41" s="10">
        <f t="shared" si="12"/>
        <v>767</v>
      </c>
      <c r="H41" s="9">
        <v>6</v>
      </c>
      <c r="I41" s="10">
        <f t="shared" si="13"/>
        <v>4602</v>
      </c>
      <c r="J41" s="10"/>
    </row>
    <row r="42" spans="1:13">
      <c r="A42" s="15" t="s">
        <v>109</v>
      </c>
      <c r="B42" s="9">
        <v>500</v>
      </c>
      <c r="C42" s="9">
        <v>162</v>
      </c>
      <c r="D42" s="9">
        <v>40</v>
      </c>
      <c r="E42" s="9">
        <v>65</v>
      </c>
      <c r="F42" s="11">
        <v>0</v>
      </c>
      <c r="G42" s="10">
        <f t="shared" si="12"/>
        <v>767</v>
      </c>
      <c r="H42" s="9">
        <v>6</v>
      </c>
      <c r="I42" s="10">
        <f t="shared" si="13"/>
        <v>4602</v>
      </c>
      <c r="J42" s="10"/>
    </row>
    <row r="43" spans="1:13">
      <c r="A43" s="15" t="s">
        <v>109</v>
      </c>
      <c r="B43" s="9">
        <v>500</v>
      </c>
      <c r="C43" s="9">
        <v>162</v>
      </c>
      <c r="D43" s="9">
        <v>40</v>
      </c>
      <c r="E43" s="9">
        <v>65</v>
      </c>
      <c r="F43" s="11">
        <v>0</v>
      </c>
      <c r="G43" s="10">
        <f t="shared" si="12"/>
        <v>767</v>
      </c>
      <c r="H43" s="9">
        <v>6</v>
      </c>
      <c r="I43" s="10">
        <f t="shared" si="13"/>
        <v>4602</v>
      </c>
      <c r="J43" s="10"/>
    </row>
    <row r="44" spans="1:13">
      <c r="A44" s="15" t="s">
        <v>102</v>
      </c>
      <c r="B44" s="9">
        <v>0</v>
      </c>
      <c r="C44" s="9">
        <v>0</v>
      </c>
      <c r="D44" s="9">
        <v>0</v>
      </c>
      <c r="E44" s="9">
        <v>0</v>
      </c>
      <c r="F44" s="11">
        <v>0</v>
      </c>
      <c r="G44" s="10">
        <f t="shared" si="12"/>
        <v>0</v>
      </c>
      <c r="H44" s="9"/>
      <c r="I44" s="10">
        <f t="shared" si="13"/>
        <v>0</v>
      </c>
      <c r="J44" s="10"/>
      <c r="M44" s="48"/>
    </row>
    <row r="45" spans="1:13">
      <c r="A45" s="16" t="s">
        <v>110</v>
      </c>
      <c r="B45" s="217">
        <v>550</v>
      </c>
      <c r="C45" s="217">
        <v>162</v>
      </c>
      <c r="D45" s="217">
        <v>44</v>
      </c>
      <c r="E45" s="217">
        <v>71.5</v>
      </c>
      <c r="F45" s="31">
        <v>0</v>
      </c>
      <c r="G45" s="219">
        <f t="shared" si="12"/>
        <v>827.5</v>
      </c>
      <c r="H45" s="217">
        <v>7</v>
      </c>
      <c r="I45" s="219">
        <f t="shared" si="13"/>
        <v>5792.5</v>
      </c>
      <c r="J45" s="219">
        <v>113</v>
      </c>
      <c r="M45" s="48"/>
    </row>
    <row r="46" spans="1:13">
      <c r="A46" s="183" t="s">
        <v>103</v>
      </c>
      <c r="B46" s="227">
        <f>SUM(B39:B45)</f>
        <v>3050</v>
      </c>
      <c r="C46" s="227">
        <f t="shared" ref="C46:J46" si="14">SUM(C39:C45)</f>
        <v>972</v>
      </c>
      <c r="D46" s="227">
        <f t="shared" si="14"/>
        <v>244</v>
      </c>
      <c r="E46" s="227">
        <f t="shared" si="14"/>
        <v>396.5</v>
      </c>
      <c r="F46" s="227">
        <f t="shared" si="14"/>
        <v>0</v>
      </c>
      <c r="G46" s="227">
        <f t="shared" si="14"/>
        <v>4662.5</v>
      </c>
      <c r="H46" s="227"/>
      <c r="I46" s="184">
        <f t="shared" si="14"/>
        <v>28802.5</v>
      </c>
      <c r="J46" s="184">
        <f t="shared" si="14"/>
        <v>113</v>
      </c>
      <c r="K46" s="175">
        <f>J46+I46</f>
        <v>28915.5</v>
      </c>
      <c r="M46" s="48"/>
    </row>
    <row r="47" spans="1:13">
      <c r="A47" s="112"/>
      <c r="B47" s="228"/>
      <c r="C47" s="228"/>
      <c r="D47" s="228"/>
      <c r="E47" s="228"/>
      <c r="F47" s="228"/>
      <c r="G47" s="228"/>
      <c r="H47" s="228"/>
      <c r="I47" s="228"/>
      <c r="J47" s="228"/>
      <c r="K47" s="175"/>
      <c r="M47" s="48"/>
    </row>
    <row r="50" spans="1:13">
      <c r="A50" s="55" t="s">
        <v>39</v>
      </c>
      <c r="B50" s="215" t="s">
        <v>51</v>
      </c>
      <c r="C50" s="215" t="s">
        <v>105</v>
      </c>
      <c r="D50" s="215" t="s">
        <v>106</v>
      </c>
      <c r="E50" s="215" t="s">
        <v>52</v>
      </c>
      <c r="F50" s="215" t="s">
        <v>125</v>
      </c>
      <c r="G50" s="57" t="s">
        <v>108</v>
      </c>
      <c r="H50" s="197" t="s">
        <v>117</v>
      </c>
      <c r="I50" s="215" t="s">
        <v>116</v>
      </c>
      <c r="J50" s="57" t="s">
        <v>107</v>
      </c>
    </row>
    <row r="51" spans="1:13">
      <c r="A51" s="15" t="s">
        <v>97</v>
      </c>
      <c r="B51" s="9">
        <v>500</v>
      </c>
      <c r="C51" s="9">
        <v>0</v>
      </c>
      <c r="D51" s="9">
        <v>0</v>
      </c>
      <c r="E51" s="9">
        <v>0</v>
      </c>
      <c r="F51" s="9">
        <v>0</v>
      </c>
      <c r="G51" s="10">
        <f t="shared" ref="G51:G56" si="15">SUM(B51:E51)</f>
        <v>500</v>
      </c>
      <c r="H51" s="11">
        <v>1</v>
      </c>
      <c r="I51" s="10">
        <f t="shared" ref="I51:I56" si="16">G51*H51</f>
        <v>500</v>
      </c>
      <c r="J51" s="10"/>
    </row>
    <row r="52" spans="1:13">
      <c r="A52" s="15" t="s">
        <v>98</v>
      </c>
      <c r="B52" s="9">
        <v>500</v>
      </c>
      <c r="C52" s="9">
        <v>0</v>
      </c>
      <c r="D52" s="9">
        <v>0</v>
      </c>
      <c r="E52" s="9">
        <v>0</v>
      </c>
      <c r="F52" s="9">
        <v>0</v>
      </c>
      <c r="G52" s="10">
        <f t="shared" si="15"/>
        <v>500</v>
      </c>
      <c r="H52" s="11">
        <v>1</v>
      </c>
      <c r="I52" s="10">
        <f t="shared" si="16"/>
        <v>500</v>
      </c>
      <c r="J52" s="10"/>
    </row>
    <row r="53" spans="1:13">
      <c r="A53" s="15" t="s">
        <v>99</v>
      </c>
      <c r="B53" s="9">
        <v>500</v>
      </c>
      <c r="C53" s="9">
        <v>0</v>
      </c>
      <c r="D53" s="9">
        <v>0</v>
      </c>
      <c r="E53" s="9">
        <v>0</v>
      </c>
      <c r="F53" s="9">
        <v>0</v>
      </c>
      <c r="G53" s="10">
        <f t="shared" si="15"/>
        <v>500</v>
      </c>
      <c r="H53" s="11">
        <v>1</v>
      </c>
      <c r="I53" s="10">
        <f t="shared" si="16"/>
        <v>500</v>
      </c>
      <c r="J53" s="10"/>
    </row>
    <row r="54" spans="1:13">
      <c r="A54" s="15" t="s">
        <v>100</v>
      </c>
      <c r="B54" s="9">
        <v>500</v>
      </c>
      <c r="C54" s="9">
        <v>0</v>
      </c>
      <c r="D54" s="9">
        <v>0</v>
      </c>
      <c r="E54" s="9">
        <v>0</v>
      </c>
      <c r="F54" s="9">
        <v>0</v>
      </c>
      <c r="G54" s="10">
        <f t="shared" si="15"/>
        <v>500</v>
      </c>
      <c r="H54" s="11">
        <v>1</v>
      </c>
      <c r="I54" s="10">
        <f t="shared" si="16"/>
        <v>500</v>
      </c>
      <c r="J54" s="10"/>
    </row>
    <row r="55" spans="1:13">
      <c r="A55" s="15" t="s">
        <v>101</v>
      </c>
      <c r="B55" s="9">
        <v>500</v>
      </c>
      <c r="C55" s="9">
        <v>0</v>
      </c>
      <c r="D55" s="9">
        <v>0</v>
      </c>
      <c r="E55" s="9">
        <v>0</v>
      </c>
      <c r="F55" s="9">
        <v>0</v>
      </c>
      <c r="G55" s="10">
        <f t="shared" si="15"/>
        <v>500</v>
      </c>
      <c r="H55" s="11">
        <v>1</v>
      </c>
      <c r="I55" s="10">
        <f t="shared" si="16"/>
        <v>500</v>
      </c>
      <c r="J55" s="10"/>
    </row>
    <row r="56" spans="1:13">
      <c r="A56" s="15" t="s">
        <v>102</v>
      </c>
      <c r="B56" s="9">
        <v>500</v>
      </c>
      <c r="C56" s="9">
        <v>0</v>
      </c>
      <c r="D56" s="9">
        <v>0</v>
      </c>
      <c r="E56" s="9">
        <v>0</v>
      </c>
      <c r="F56" s="9">
        <v>0</v>
      </c>
      <c r="G56" s="10">
        <f t="shared" si="15"/>
        <v>500</v>
      </c>
      <c r="H56" s="11">
        <v>1</v>
      </c>
      <c r="I56" s="10">
        <f t="shared" si="16"/>
        <v>500</v>
      </c>
      <c r="J56" s="10"/>
      <c r="M56" s="3"/>
    </row>
    <row r="57" spans="1:13">
      <c r="A57" s="55" t="s">
        <v>103</v>
      </c>
      <c r="B57" s="220">
        <f>SUM(B51:B56)</f>
        <v>3000</v>
      </c>
      <c r="C57" s="220">
        <f t="shared" ref="C57:F57" si="17">SUM(C51:C56)</f>
        <v>0</v>
      </c>
      <c r="D57" s="220">
        <f t="shared" si="17"/>
        <v>0</v>
      </c>
      <c r="E57" s="220">
        <f t="shared" si="17"/>
        <v>0</v>
      </c>
      <c r="F57" s="220">
        <f t="shared" si="17"/>
        <v>0</v>
      </c>
      <c r="G57" s="220">
        <f>SUM(G51:G56)</f>
        <v>3000</v>
      </c>
      <c r="H57" s="229"/>
      <c r="I57" s="220">
        <f>SUM(I51:I56)</f>
        <v>3000</v>
      </c>
      <c r="J57" s="230"/>
      <c r="K57" s="175">
        <f>J57+I57</f>
        <v>3000</v>
      </c>
    </row>
    <row r="59" spans="1:13">
      <c r="A59" s="55" t="s">
        <v>114</v>
      </c>
      <c r="B59" s="215" t="s">
        <v>51</v>
      </c>
      <c r="C59" s="215" t="s">
        <v>105</v>
      </c>
      <c r="D59" s="215" t="s">
        <v>106</v>
      </c>
      <c r="E59" s="215" t="s">
        <v>52</v>
      </c>
      <c r="F59" s="215" t="s">
        <v>125</v>
      </c>
      <c r="G59" s="57" t="s">
        <v>108</v>
      </c>
      <c r="H59" s="215" t="s">
        <v>117</v>
      </c>
      <c r="I59" s="57" t="s">
        <v>116</v>
      </c>
      <c r="J59" s="197" t="s">
        <v>107</v>
      </c>
    </row>
    <row r="60" spans="1:13">
      <c r="A60" s="35" t="s">
        <v>109</v>
      </c>
      <c r="B60" s="154">
        <v>475</v>
      </c>
      <c r="C60" s="154"/>
      <c r="D60" s="154">
        <v>38</v>
      </c>
      <c r="E60" s="154"/>
      <c r="F60" s="154">
        <v>4</v>
      </c>
      <c r="G60" s="223">
        <f>SUM(B60:F60)</f>
        <v>517</v>
      </c>
      <c r="H60" s="154"/>
      <c r="I60" s="223"/>
      <c r="J60" s="127"/>
      <c r="L60" s="48"/>
      <c r="M60" s="201"/>
    </row>
    <row r="61" spans="1:13">
      <c r="A61" s="15" t="s">
        <v>109</v>
      </c>
      <c r="B61" s="9">
        <v>475</v>
      </c>
      <c r="C61" s="9"/>
      <c r="D61" s="9">
        <v>38</v>
      </c>
      <c r="E61" s="9"/>
      <c r="F61" s="9">
        <v>4</v>
      </c>
      <c r="G61" s="10">
        <f t="shared" ref="G61:G73" si="18">SUM(B61:F61)</f>
        <v>517</v>
      </c>
      <c r="H61" s="9"/>
      <c r="I61" s="10"/>
      <c r="J61" s="11"/>
      <c r="M61" s="106"/>
    </row>
    <row r="62" spans="1:13">
      <c r="A62" s="15" t="s">
        <v>109</v>
      </c>
      <c r="B62" s="9">
        <v>475</v>
      </c>
      <c r="C62" s="9"/>
      <c r="D62" s="9">
        <v>38</v>
      </c>
      <c r="E62" s="9"/>
      <c r="F62" s="9">
        <v>4</v>
      </c>
      <c r="G62" s="10">
        <f t="shared" si="18"/>
        <v>517</v>
      </c>
      <c r="H62" s="9"/>
      <c r="I62" s="10"/>
      <c r="J62" s="11"/>
      <c r="M62" s="106"/>
    </row>
    <row r="63" spans="1:13">
      <c r="A63" s="15" t="s">
        <v>109</v>
      </c>
      <c r="B63" s="9">
        <v>475</v>
      </c>
      <c r="C63" s="9"/>
      <c r="D63" s="9">
        <v>38</v>
      </c>
      <c r="E63" s="9"/>
      <c r="F63" s="9">
        <v>4</v>
      </c>
      <c r="G63" s="10">
        <f t="shared" si="18"/>
        <v>517</v>
      </c>
      <c r="H63" s="9"/>
      <c r="I63" s="10"/>
      <c r="J63" s="11"/>
      <c r="M63" s="106"/>
    </row>
    <row r="64" spans="1:13">
      <c r="A64" s="15" t="s">
        <v>109</v>
      </c>
      <c r="B64" s="9">
        <v>475</v>
      </c>
      <c r="C64" s="9"/>
      <c r="D64" s="9">
        <v>38</v>
      </c>
      <c r="E64" s="9"/>
      <c r="F64" s="9">
        <v>4</v>
      </c>
      <c r="G64" s="10">
        <f t="shared" si="18"/>
        <v>517</v>
      </c>
      <c r="H64" s="9"/>
      <c r="I64" s="10"/>
      <c r="J64" s="11"/>
      <c r="M64" s="106"/>
    </row>
    <row r="65" spans="1:13">
      <c r="A65" s="15" t="s">
        <v>109</v>
      </c>
      <c r="B65" s="9">
        <v>475</v>
      </c>
      <c r="C65" s="9"/>
      <c r="D65" s="9">
        <v>38</v>
      </c>
      <c r="E65" s="9"/>
      <c r="F65" s="9">
        <v>4</v>
      </c>
      <c r="G65" s="10">
        <f t="shared" si="18"/>
        <v>517</v>
      </c>
      <c r="H65" s="9"/>
      <c r="I65" s="10"/>
      <c r="J65" s="11"/>
      <c r="M65" s="106"/>
    </row>
    <row r="66" spans="1:13">
      <c r="A66" s="15" t="s">
        <v>109</v>
      </c>
      <c r="B66" s="9">
        <v>475</v>
      </c>
      <c r="C66" s="9"/>
      <c r="D66" s="9">
        <v>38</v>
      </c>
      <c r="E66" s="9"/>
      <c r="F66" s="9">
        <v>4</v>
      </c>
      <c r="G66" s="10">
        <f t="shared" si="18"/>
        <v>517</v>
      </c>
      <c r="H66" s="9"/>
      <c r="I66" s="10"/>
      <c r="J66" s="11"/>
      <c r="M66" s="106"/>
    </row>
    <row r="67" spans="1:13">
      <c r="A67" s="15" t="s">
        <v>109</v>
      </c>
      <c r="B67" s="9">
        <v>475</v>
      </c>
      <c r="C67" s="9"/>
      <c r="D67" s="9">
        <v>38</v>
      </c>
      <c r="E67" s="9"/>
      <c r="F67" s="9">
        <v>4</v>
      </c>
      <c r="G67" s="10">
        <f t="shared" si="18"/>
        <v>517</v>
      </c>
      <c r="H67" s="9"/>
      <c r="I67" s="10"/>
      <c r="J67" s="11"/>
      <c r="M67" s="106"/>
    </row>
    <row r="68" spans="1:13">
      <c r="A68" s="15" t="s">
        <v>109</v>
      </c>
      <c r="B68" s="9">
        <v>475</v>
      </c>
      <c r="C68" s="9"/>
      <c r="D68" s="9">
        <v>38</v>
      </c>
      <c r="E68" s="9"/>
      <c r="F68" s="9">
        <v>4</v>
      </c>
      <c r="G68" s="10">
        <f t="shared" si="18"/>
        <v>517</v>
      </c>
      <c r="H68" s="9"/>
      <c r="I68" s="10"/>
      <c r="J68" s="11"/>
      <c r="M68" s="106"/>
    </row>
    <row r="69" spans="1:13">
      <c r="A69" s="15" t="s">
        <v>101</v>
      </c>
      <c r="B69" s="9">
        <v>500</v>
      </c>
      <c r="C69" s="9"/>
      <c r="D69" s="9"/>
      <c r="E69" s="9"/>
      <c r="F69" s="9"/>
      <c r="G69" s="10">
        <f t="shared" si="18"/>
        <v>500</v>
      </c>
      <c r="H69" s="9"/>
      <c r="I69" s="10"/>
      <c r="J69" s="11"/>
      <c r="M69" s="106"/>
    </row>
    <row r="70" spans="1:13">
      <c r="A70" s="15" t="s">
        <v>101</v>
      </c>
      <c r="B70" s="9">
        <v>500</v>
      </c>
      <c r="C70" s="9"/>
      <c r="D70" s="9"/>
      <c r="E70" s="9"/>
      <c r="F70" s="9"/>
      <c r="G70" s="10">
        <f t="shared" si="18"/>
        <v>500</v>
      </c>
      <c r="H70" s="9"/>
      <c r="I70" s="10"/>
      <c r="J70" s="11"/>
      <c r="M70" s="106"/>
    </row>
    <row r="71" spans="1:13">
      <c r="A71" s="15" t="s">
        <v>110</v>
      </c>
      <c r="B71" s="9">
        <v>500</v>
      </c>
      <c r="C71" s="9"/>
      <c r="D71" s="9">
        <v>40</v>
      </c>
      <c r="E71" s="9"/>
      <c r="F71" s="9">
        <v>4</v>
      </c>
      <c r="G71" s="10">
        <f t="shared" si="18"/>
        <v>544</v>
      </c>
      <c r="H71" s="9"/>
      <c r="I71" s="10"/>
      <c r="J71" s="11"/>
      <c r="M71" s="106"/>
    </row>
    <row r="72" spans="1:13">
      <c r="A72" s="15" t="s">
        <v>110</v>
      </c>
      <c r="B72" s="9">
        <v>500</v>
      </c>
      <c r="C72" s="9"/>
      <c r="D72" s="9">
        <v>40</v>
      </c>
      <c r="E72" s="9"/>
      <c r="F72" s="9">
        <v>4</v>
      </c>
      <c r="G72" s="10">
        <f t="shared" si="18"/>
        <v>544</v>
      </c>
      <c r="H72" s="9"/>
      <c r="I72" s="10"/>
      <c r="J72" s="11"/>
      <c r="M72" s="106"/>
    </row>
    <row r="73" spans="1:13">
      <c r="A73" s="16" t="s">
        <v>115</v>
      </c>
      <c r="B73" s="217">
        <v>500</v>
      </c>
      <c r="C73" s="217"/>
      <c r="D73" s="217"/>
      <c r="E73" s="217"/>
      <c r="F73" s="217"/>
      <c r="G73" s="219">
        <f t="shared" si="18"/>
        <v>500</v>
      </c>
      <c r="H73" s="217"/>
      <c r="I73" s="219"/>
      <c r="J73" s="31"/>
      <c r="M73" s="106"/>
    </row>
    <row r="74" spans="1:13">
      <c r="A74" s="183" t="s">
        <v>103</v>
      </c>
      <c r="B74" s="231">
        <f>SUM(B60:B73)</f>
        <v>6775</v>
      </c>
      <c r="C74" s="231">
        <f t="shared" ref="C74:J74" si="19">SUM(C60:C73)</f>
        <v>0</v>
      </c>
      <c r="D74" s="231">
        <f t="shared" si="19"/>
        <v>422</v>
      </c>
      <c r="E74" s="231">
        <f t="shared" si="19"/>
        <v>0</v>
      </c>
      <c r="F74" s="231">
        <f t="shared" si="19"/>
        <v>44</v>
      </c>
      <c r="G74" s="232">
        <f t="shared" si="19"/>
        <v>7241</v>
      </c>
      <c r="H74" s="231"/>
      <c r="I74" s="232">
        <f t="shared" si="19"/>
        <v>0</v>
      </c>
      <c r="J74" s="233">
        <f t="shared" si="19"/>
        <v>0</v>
      </c>
      <c r="K74" s="175"/>
      <c r="M74" s="106"/>
    </row>
    <row r="75" spans="1:13">
      <c r="M75" s="106"/>
    </row>
    <row r="76" spans="1:13">
      <c r="A76" s="234"/>
      <c r="B76" s="234"/>
      <c r="L76" s="106"/>
      <c r="M76" s="106"/>
    </row>
    <row r="77" spans="1:13">
      <c r="B77" s="20"/>
    </row>
    <row r="78" spans="1:13">
      <c r="B78" s="37"/>
    </row>
    <row r="79" spans="1:13">
      <c r="B79" s="37"/>
    </row>
    <row r="80" spans="1:13">
      <c r="B80" s="37"/>
    </row>
    <row r="81" spans="2:2">
      <c r="B81" s="37"/>
    </row>
    <row r="82" spans="2:2">
      <c r="B82" s="37"/>
    </row>
    <row r="83" spans="2:2">
      <c r="B83" s="37"/>
    </row>
    <row r="84" spans="2:2">
      <c r="B84" s="20"/>
    </row>
    <row r="85" spans="2:2">
      <c r="B85" s="20"/>
    </row>
    <row r="155" spans="30:30">
      <c r="AD155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2019 Prod Sched</vt:lpstr>
      <vt:lpstr>Financial Snapshot</vt:lpstr>
      <vt:lpstr>Payroll</vt:lpstr>
      <vt:lpstr>2019 Prod Budget</vt:lpstr>
      <vt:lpstr>Box Office</vt:lpstr>
      <vt:lpstr>Quickbooks By Qtr</vt:lpstr>
      <vt:lpstr>Budget Summary</vt:lpstr>
      <vt:lpstr>Budget 2018</vt:lpstr>
      <vt:lpstr>2018 Prod Payroll</vt:lpstr>
      <vt:lpstr>'Financial Snapshot'!Print_Area</vt:lpstr>
      <vt:lpstr>'Financial Snapshot'!Print_Titles</vt:lpstr>
      <vt:lpstr>'Quickbooks By Qtr'!Print_Titles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Altman Posner</dc:creator>
  <cp:lastModifiedBy>Lauri Altman Posner</cp:lastModifiedBy>
  <cp:lastPrinted>2018-11-04T16:23:28Z</cp:lastPrinted>
  <dcterms:created xsi:type="dcterms:W3CDTF">2018-09-05T00:49:23Z</dcterms:created>
  <dcterms:modified xsi:type="dcterms:W3CDTF">2018-11-04T17:00:07Z</dcterms:modified>
</cp:coreProperties>
</file>